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3380" windowHeight="15540" activeTab="0"/>
  </bookViews>
  <sheets>
    <sheet name="Km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<sst xmlns="http://schemas.openxmlformats.org/spreadsheetml/2006/main" count="76" uniqueCount="51">
  <si>
    <t>West Leg</t>
  </si>
  <si>
    <t>N.E. Leg</t>
  </si>
  <si>
    <t>S.E. Leg</t>
  </si>
  <si>
    <t>West end of trail</t>
  </si>
  <si>
    <t>Warspite (siding centre)</t>
  </si>
  <si>
    <t>Smoky Lake(Hotel Corner)</t>
  </si>
  <si>
    <t>Edwand (siding centre)</t>
  </si>
  <si>
    <t>Boscombe Corner</t>
  </si>
  <si>
    <t>Mallaig</t>
  </si>
  <si>
    <t>Therien</t>
  </si>
  <si>
    <t>Glendon</t>
  </si>
  <si>
    <t>Franchere</t>
  </si>
  <si>
    <t>Anshaw</t>
  </si>
  <si>
    <t>Bonnyville</t>
  </si>
  <si>
    <t>Fort Kent</t>
  </si>
  <si>
    <t>Ardmore</t>
  </si>
  <si>
    <t>Beaver River Trestle</t>
  </si>
  <si>
    <t>Cold Lake</t>
  </si>
  <si>
    <t>Medley Base Gates</t>
  </si>
  <si>
    <t>Owlseye</t>
  </si>
  <si>
    <t>Armistice</t>
  </si>
  <si>
    <t>Heinsburg</t>
  </si>
  <si>
    <t>Jct 36/857Gas Turnofff</t>
  </si>
  <si>
    <t>Vilna Main Street</t>
  </si>
  <si>
    <t>Spedden Main Junction</t>
  </si>
  <si>
    <t>Doug Hays Gas  (Turnoff)</t>
  </si>
  <si>
    <t>Ashmont (Centre)</t>
  </si>
  <si>
    <t xml:space="preserve">St.Paul </t>
  </si>
  <si>
    <t xml:space="preserve">Elk Point </t>
  </si>
  <si>
    <t>Muriel Siding</t>
  </si>
  <si>
    <t>Riverview HiWay Jct</t>
  </si>
  <si>
    <t>Middle Creek Siding</t>
  </si>
  <si>
    <t>Lindbergh Siding</t>
  </si>
  <si>
    <t xml:space="preserve">Warspite Siding </t>
  </si>
  <si>
    <t>Smoky Lake (Hotel Corner)</t>
  </si>
  <si>
    <t>Edwand Siding</t>
  </si>
  <si>
    <t xml:space="preserve">Bellis </t>
  </si>
  <si>
    <t>Bellis</t>
  </si>
  <si>
    <t xml:space="preserve">Vilna </t>
  </si>
  <si>
    <t>Doug Hays Gas (Turnoff)</t>
  </si>
  <si>
    <t xml:space="preserve">Ashmont </t>
  </si>
  <si>
    <t xml:space="preserve">Abiliene Junction </t>
  </si>
  <si>
    <t>Cold Lake N.E. End of IHT</t>
  </si>
  <si>
    <t>Abiliene Junction</t>
  </si>
  <si>
    <t>St.Paul</t>
  </si>
  <si>
    <t>Elk Point</t>
  </si>
  <si>
    <t>Riverview HiWay Junction</t>
  </si>
  <si>
    <t xml:space="preserve">Notes: Measurements are taken from Centre of Abilene Junction to: Centres of Sidings, 50th Streets of Towns, or otherwise noted. Kms. are rounded, but are in original form in their box. </t>
  </si>
  <si>
    <t>Jct 36/857Gas Turnoff</t>
  </si>
  <si>
    <t>Edouardville</t>
  </si>
  <si>
    <t>Km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</si>
</sst>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58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9"/>
      <color indexed="5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textRotation="180"/>
    </xf>
    <xf numFmtId="0" fontId="2" fillId="33" borderId="10" xfId="0" applyFont="1" applyFill="1" applyBorder="1" applyAlignment="1">
      <alignment/>
    </xf>
    <xf numFmtId="1" fontId="2" fillId="33" borderId="11" xfId="0" applyNumberFormat="1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textRotation="180"/>
    </xf>
    <xf numFmtId="0" fontId="2" fillId="33" borderId="11" xfId="0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1" fontId="2" fillId="33" borderId="15" xfId="0" applyNumberFormat="1" applyFon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2" fillId="33" borderId="19" xfId="0" applyNumberFormat="1" applyFon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1" fontId="0" fillId="0" borderId="22" xfId="0" applyNumberFormat="1" applyBorder="1" applyAlignment="1">
      <alignment horizontal="center"/>
    </xf>
    <xf numFmtId="1" fontId="2" fillId="33" borderId="23" xfId="0" applyNumberFormat="1" applyFon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172" fontId="2" fillId="33" borderId="0" xfId="0" applyNumberFormat="1" applyFont="1" applyFill="1" applyAlignment="1">
      <alignment horizontal="center"/>
    </xf>
    <xf numFmtId="172" fontId="2" fillId="33" borderId="28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7" xfId="0" applyFill="1" applyBorder="1" applyAlignment="1">
      <alignment horizontal="center" textRotation="180"/>
    </xf>
    <xf numFmtId="0" fontId="2" fillId="33" borderId="14" xfId="0" applyFont="1" applyFill="1" applyBorder="1" applyAlignment="1">
      <alignment horizontal="center" textRotation="180"/>
    </xf>
    <xf numFmtId="0" fontId="2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textRotation="90"/>
    </xf>
    <xf numFmtId="0" fontId="2" fillId="33" borderId="32" xfId="0" applyFont="1" applyFill="1" applyBorder="1" applyAlignment="1">
      <alignment horizontal="center" textRotation="90"/>
    </xf>
    <xf numFmtId="0" fontId="1" fillId="0" borderId="33" xfId="0" applyFont="1" applyBorder="1" applyAlignment="1">
      <alignment horizontal="center" textRotation="90"/>
    </xf>
    <xf numFmtId="0" fontId="1" fillId="0" borderId="34" xfId="0" applyFont="1" applyBorder="1" applyAlignment="1">
      <alignment horizontal="center" textRotation="90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1" fontId="2" fillId="33" borderId="18" xfId="0" applyNumberFormat="1" applyFont="1" applyFill="1" applyBorder="1" applyAlignment="1">
      <alignment horizontal="center"/>
    </xf>
    <xf numFmtId="1" fontId="2" fillId="33" borderId="20" xfId="0" applyNumberFormat="1" applyFont="1" applyFill="1" applyBorder="1" applyAlignment="1">
      <alignment horizontal="center"/>
    </xf>
    <xf numFmtId="1" fontId="2" fillId="33" borderId="21" xfId="0" applyNumberFormat="1" applyFon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2" fillId="33" borderId="32" xfId="0" applyNumberFormat="1" applyFont="1" applyFill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2" fillId="33" borderId="38" xfId="0" applyNumberFormat="1" applyFont="1" applyFill="1" applyBorder="1" applyAlignment="1">
      <alignment horizontal="center"/>
    </xf>
    <xf numFmtId="172" fontId="2" fillId="33" borderId="38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0" fontId="3" fillId="33" borderId="39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172" fontId="5" fillId="33" borderId="28" xfId="0" applyNumberFormat="1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textRotation="180"/>
    </xf>
    <xf numFmtId="0" fontId="3" fillId="33" borderId="34" xfId="0" applyFont="1" applyFill="1" applyBorder="1" applyAlignment="1">
      <alignment horizontal="center" textRotation="180"/>
    </xf>
    <xf numFmtId="0" fontId="3" fillId="33" borderId="0" xfId="0" applyFont="1" applyFill="1" applyAlignment="1">
      <alignment horizontal="center" textRotation="180"/>
    </xf>
    <xf numFmtId="0" fontId="3" fillId="33" borderId="0" xfId="0" applyFont="1" applyFill="1" applyAlignment="1">
      <alignment/>
    </xf>
    <xf numFmtId="0" fontId="3" fillId="33" borderId="35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28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textRotation="90"/>
    </xf>
    <xf numFmtId="0" fontId="3" fillId="33" borderId="35" xfId="0" applyFont="1" applyFill="1" applyBorder="1" applyAlignment="1">
      <alignment horizontal="center" vertical="center" textRotation="90"/>
    </xf>
    <xf numFmtId="0" fontId="3" fillId="33" borderId="40" xfId="0" applyFont="1" applyFill="1" applyBorder="1" applyAlignment="1">
      <alignment horizontal="center" vertical="center" textRotation="90"/>
    </xf>
    <xf numFmtId="0" fontId="3" fillId="33" borderId="35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37" xfId="0" applyFont="1" applyFill="1" applyBorder="1" applyAlignment="1">
      <alignment horizontal="center" vertical="center" textRotation="90"/>
    </xf>
    <xf numFmtId="0" fontId="5" fillId="33" borderId="41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T39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V1"/>
    </sheetView>
  </sheetViews>
  <sheetFormatPr defaultColWidth="8.8515625" defaultRowHeight="12.75"/>
  <cols>
    <col min="1" max="1" width="2.7109375" style="77" customWidth="1"/>
    <col min="2" max="2" width="24.7109375" style="1" customWidth="1"/>
    <col min="3" max="3" width="3.7109375" style="36" customWidth="1"/>
    <col min="4" max="13" width="4.28125" style="32" customWidth="1"/>
    <col min="14" max="14" width="3.7109375" style="33" customWidth="1"/>
    <col min="15" max="26" width="4.28125" style="32" customWidth="1"/>
    <col min="27" max="27" width="3.7109375" style="33" customWidth="1"/>
    <col min="28" max="28" width="4.28125" style="34" customWidth="1"/>
    <col min="29" max="36" width="4.28125" style="16" customWidth="1"/>
    <col min="37" max="37" width="4.28125" style="35" customWidth="1"/>
    <col min="38" max="38" width="4.28125" style="39" customWidth="1"/>
    <col min="39" max="48" width="4.28125" style="32" customWidth="1"/>
    <col min="49" max="70" width="4.7109375" style="32" customWidth="1"/>
    <col min="71" max="87" width="3.421875" style="0" customWidth="1"/>
  </cols>
  <sheetData>
    <row r="1" spans="1:98" s="77" customFormat="1" ht="15" customHeight="1" thickBot="1">
      <c r="A1" s="71"/>
      <c r="B1" s="72"/>
      <c r="C1" s="73"/>
      <c r="D1" s="82" t="s">
        <v>0</v>
      </c>
      <c r="E1" s="82"/>
      <c r="F1" s="82"/>
      <c r="G1" s="82"/>
      <c r="H1" s="82"/>
      <c r="I1" s="82"/>
      <c r="J1" s="82"/>
      <c r="K1" s="82"/>
      <c r="L1" s="82"/>
      <c r="M1" s="90"/>
      <c r="N1" s="74"/>
      <c r="O1" s="91" t="s">
        <v>1</v>
      </c>
      <c r="P1" s="82"/>
      <c r="Q1" s="82"/>
      <c r="R1" s="82"/>
      <c r="S1" s="82"/>
      <c r="T1" s="82"/>
      <c r="U1" s="82"/>
      <c r="V1" s="82"/>
      <c r="W1" s="82"/>
      <c r="X1" s="82"/>
      <c r="Y1" s="92"/>
      <c r="Z1" s="93"/>
      <c r="AA1" s="74"/>
      <c r="AB1" s="82" t="s">
        <v>2</v>
      </c>
      <c r="AC1" s="82"/>
      <c r="AD1" s="82"/>
      <c r="AE1" s="82"/>
      <c r="AF1" s="82"/>
      <c r="AG1" s="82"/>
      <c r="AH1" s="82"/>
      <c r="AI1" s="82"/>
      <c r="AJ1" s="82"/>
      <c r="AK1" s="83"/>
      <c r="AL1" s="75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</row>
    <row r="2" spans="1:98" ht="127.5" customHeight="1">
      <c r="A2" s="78"/>
      <c r="B2" s="53" t="s">
        <v>47</v>
      </c>
      <c r="C2" s="37"/>
      <c r="D2" s="54" t="s">
        <v>3</v>
      </c>
      <c r="E2" s="54" t="s">
        <v>33</v>
      </c>
      <c r="F2" s="54" t="s">
        <v>34</v>
      </c>
      <c r="G2" s="54" t="s">
        <v>35</v>
      </c>
      <c r="H2" s="54" t="s">
        <v>36</v>
      </c>
      <c r="I2" s="54" t="s">
        <v>48</v>
      </c>
      <c r="J2" s="54" t="s">
        <v>38</v>
      </c>
      <c r="K2" s="54" t="s">
        <v>24</v>
      </c>
      <c r="L2" s="54" t="s">
        <v>39</v>
      </c>
      <c r="M2" s="54" t="s">
        <v>40</v>
      </c>
      <c r="N2" s="55" t="s">
        <v>41</v>
      </c>
      <c r="O2" s="54" t="s">
        <v>7</v>
      </c>
      <c r="P2" s="54" t="s">
        <v>8</v>
      </c>
      <c r="Q2" s="54" t="s">
        <v>9</v>
      </c>
      <c r="R2" s="54" t="s">
        <v>10</v>
      </c>
      <c r="S2" s="54" t="s">
        <v>11</v>
      </c>
      <c r="T2" s="54" t="s">
        <v>12</v>
      </c>
      <c r="U2" s="54" t="s">
        <v>13</v>
      </c>
      <c r="V2" s="54" t="s">
        <v>14</v>
      </c>
      <c r="W2" s="54" t="s">
        <v>15</v>
      </c>
      <c r="X2" s="54" t="s">
        <v>16</v>
      </c>
      <c r="Y2" s="54" t="s">
        <v>42</v>
      </c>
      <c r="Z2" s="54" t="s">
        <v>18</v>
      </c>
      <c r="AA2" s="55" t="s">
        <v>43</v>
      </c>
      <c r="AB2" s="56" t="s">
        <v>19</v>
      </c>
      <c r="AC2" s="54" t="s">
        <v>44</v>
      </c>
      <c r="AD2" s="54" t="s">
        <v>49</v>
      </c>
      <c r="AE2" s="54" t="s">
        <v>20</v>
      </c>
      <c r="AF2" s="54" t="s">
        <v>45</v>
      </c>
      <c r="AG2" s="54" t="s">
        <v>29</v>
      </c>
      <c r="AH2" s="54" t="s">
        <v>32</v>
      </c>
      <c r="AI2" s="54" t="s">
        <v>46</v>
      </c>
      <c r="AJ2" s="54" t="s">
        <v>31</v>
      </c>
      <c r="AK2" s="57" t="s">
        <v>21</v>
      </c>
      <c r="AL2" s="40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1:98" s="9" customFormat="1" ht="13.5" thickBot="1">
      <c r="A3" s="79"/>
      <c r="B3" s="3"/>
      <c r="C3" s="70" t="s">
        <v>50</v>
      </c>
      <c r="D3" s="61">
        <v>92.65</v>
      </c>
      <c r="E3" s="61">
        <v>82.38</v>
      </c>
      <c r="F3" s="61">
        <v>70</v>
      </c>
      <c r="G3" s="61">
        <v>53.9</v>
      </c>
      <c r="H3" s="61">
        <v>45.5</v>
      </c>
      <c r="I3" s="61">
        <v>43.9</v>
      </c>
      <c r="J3" s="61">
        <v>29.7</v>
      </c>
      <c r="K3" s="61">
        <v>16.4</v>
      </c>
      <c r="L3" s="61">
        <v>8.1</v>
      </c>
      <c r="M3" s="61">
        <v>5.8</v>
      </c>
      <c r="N3" s="20">
        <v>0</v>
      </c>
      <c r="O3" s="61">
        <v>6.6</v>
      </c>
      <c r="P3" s="61">
        <v>15.5</v>
      </c>
      <c r="Q3" s="61">
        <v>22.9</v>
      </c>
      <c r="R3" s="61">
        <v>29.6</v>
      </c>
      <c r="S3" s="61">
        <v>38.6</v>
      </c>
      <c r="T3" s="61">
        <v>49.7</v>
      </c>
      <c r="U3" s="61">
        <v>58.6</v>
      </c>
      <c r="V3" s="61">
        <v>68.6</v>
      </c>
      <c r="W3" s="61">
        <v>77.1</v>
      </c>
      <c r="X3" s="61">
        <v>92.6</v>
      </c>
      <c r="Y3" s="61">
        <v>98.2</v>
      </c>
      <c r="Z3" s="61">
        <v>99</v>
      </c>
      <c r="AA3" s="20">
        <v>0</v>
      </c>
      <c r="AB3" s="62">
        <v>7</v>
      </c>
      <c r="AC3" s="61">
        <v>19</v>
      </c>
      <c r="AD3" s="61">
        <v>31</v>
      </c>
      <c r="AE3" s="61">
        <v>41.2</v>
      </c>
      <c r="AF3" s="61">
        <v>50.3</v>
      </c>
      <c r="AG3" s="61">
        <v>55.8</v>
      </c>
      <c r="AH3" s="61">
        <v>66.3</v>
      </c>
      <c r="AI3" s="61">
        <v>68.4</v>
      </c>
      <c r="AJ3" s="61">
        <v>74.4</v>
      </c>
      <c r="AK3" s="63">
        <v>84.4</v>
      </c>
      <c r="AL3" s="41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</row>
    <row r="4" spans="1:70" s="15" customFormat="1" ht="12.75">
      <c r="A4" s="84" t="s">
        <v>0</v>
      </c>
      <c r="B4" s="58" t="s">
        <v>3</v>
      </c>
      <c r="C4" s="20">
        <v>92.65</v>
      </c>
      <c r="D4" s="64">
        <f aca="true" t="shared" si="0" ref="D4:D14">93-C4</f>
        <v>0.3499999999999943</v>
      </c>
      <c r="E4" s="64">
        <f>C4-82</f>
        <v>10.650000000000006</v>
      </c>
      <c r="F4" s="64">
        <f>C4-70</f>
        <v>22.650000000000006</v>
      </c>
      <c r="G4" s="64">
        <f>C4-54</f>
        <v>38.650000000000006</v>
      </c>
      <c r="H4" s="64">
        <f>C4-46</f>
        <v>46.650000000000006</v>
      </c>
      <c r="I4" s="64">
        <f aca="true" t="shared" si="1" ref="I4:I9">C4-44</f>
        <v>48.650000000000006</v>
      </c>
      <c r="J4" s="64">
        <f aca="true" t="shared" si="2" ref="J4:J10">C4-30</f>
        <v>62.650000000000006</v>
      </c>
      <c r="K4" s="64">
        <f aca="true" t="shared" si="3" ref="K4:K11">C4-16</f>
        <v>76.65</v>
      </c>
      <c r="L4" s="64">
        <f aca="true" t="shared" si="4" ref="L4:L12">C4-8</f>
        <v>84.65</v>
      </c>
      <c r="M4" s="64">
        <f aca="true" t="shared" si="5" ref="M4:M13">C4-6</f>
        <v>86.65</v>
      </c>
      <c r="N4" s="65">
        <f aca="true" t="shared" si="6" ref="N4:N37">C4-0</f>
        <v>92.65</v>
      </c>
      <c r="O4" s="64">
        <f aca="true" t="shared" si="7" ref="O4:O14">C4+7</f>
        <v>99.65</v>
      </c>
      <c r="P4" s="64">
        <f aca="true" t="shared" si="8" ref="P4:P14">C4+16</f>
        <v>108.65</v>
      </c>
      <c r="Q4" s="64">
        <f aca="true" t="shared" si="9" ref="Q4:Q14">C4+23</f>
        <v>115.65</v>
      </c>
      <c r="R4" s="64">
        <f aca="true" t="shared" si="10" ref="R4:R14">C4+30</f>
        <v>122.65</v>
      </c>
      <c r="S4" s="64">
        <f aca="true" t="shared" si="11" ref="S4:S14">C4+39</f>
        <v>131.65</v>
      </c>
      <c r="T4" s="64">
        <f aca="true" t="shared" si="12" ref="T4:T14">C4+50</f>
        <v>142.65</v>
      </c>
      <c r="U4" s="64">
        <f aca="true" t="shared" si="13" ref="U4:U14">C4+59</f>
        <v>151.65</v>
      </c>
      <c r="V4" s="64">
        <f aca="true" t="shared" si="14" ref="V4:V14">C4+69</f>
        <v>161.65</v>
      </c>
      <c r="W4" s="64">
        <f aca="true" t="shared" si="15" ref="W4:W14">C4+77</f>
        <v>169.65</v>
      </c>
      <c r="X4" s="64">
        <f aca="true" t="shared" si="16" ref="X4:X14">C4+93</f>
        <v>185.65</v>
      </c>
      <c r="Y4" s="64">
        <f aca="true" t="shared" si="17" ref="Y4:Y14">C4+98</f>
        <v>190.65</v>
      </c>
      <c r="Z4" s="64">
        <f aca="true" t="shared" si="18" ref="Z4:Z14">C4+99</f>
        <v>191.65</v>
      </c>
      <c r="AA4" s="65">
        <f aca="true" t="shared" si="19" ref="AA4:AA37">C4-0</f>
        <v>92.65</v>
      </c>
      <c r="AB4" s="66">
        <f aca="true" t="shared" si="20" ref="AB4:AB27">C4+7</f>
        <v>99.65</v>
      </c>
      <c r="AC4" s="64">
        <f aca="true" t="shared" si="21" ref="AC4:AC14">C4+19</f>
        <v>111.65</v>
      </c>
      <c r="AD4" s="64">
        <f aca="true" t="shared" si="22" ref="AD4:AD14">C4+31</f>
        <v>123.65</v>
      </c>
      <c r="AE4" s="64">
        <f aca="true" t="shared" si="23" ref="AE4:AE27">C4+41</f>
        <v>133.65</v>
      </c>
      <c r="AF4" s="64">
        <f aca="true" t="shared" si="24" ref="AF4:AF27">C4+50</f>
        <v>142.65</v>
      </c>
      <c r="AG4" s="64">
        <f aca="true" t="shared" si="25" ref="AG4:AG27">C4+56</f>
        <v>148.65</v>
      </c>
      <c r="AH4" s="64">
        <f aca="true" t="shared" si="26" ref="AH4:AH27">C4+66</f>
        <v>158.65</v>
      </c>
      <c r="AI4" s="64">
        <f aca="true" t="shared" si="27" ref="AI4:AI26">C4+68</f>
        <v>160.65</v>
      </c>
      <c r="AJ4" s="64">
        <f aca="true" t="shared" si="28" ref="AJ4:AJ27">C4+74</f>
        <v>166.65</v>
      </c>
      <c r="AK4" s="67">
        <f aca="true" t="shared" si="29" ref="AK4:AK27">C4+84</f>
        <v>176.65</v>
      </c>
      <c r="AL4" s="42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s="17" customFormat="1" ht="12.75">
      <c r="A5" s="85"/>
      <c r="B5" s="58" t="s">
        <v>4</v>
      </c>
      <c r="C5" s="11">
        <v>82.38</v>
      </c>
      <c r="D5" s="10">
        <f t="shared" si="0"/>
        <v>10.620000000000005</v>
      </c>
      <c r="E5" s="10">
        <f aca="true" t="shared" si="30" ref="E5:E14">82-C5</f>
        <v>-0.37999999999999545</v>
      </c>
      <c r="F5" s="10">
        <f>C5-70</f>
        <v>12.379999999999995</v>
      </c>
      <c r="G5" s="10">
        <f>C5-54</f>
        <v>28.379999999999995</v>
      </c>
      <c r="H5" s="10">
        <f>C5-46</f>
        <v>36.379999999999995</v>
      </c>
      <c r="I5" s="10">
        <f t="shared" si="1"/>
        <v>38.379999999999995</v>
      </c>
      <c r="J5" s="10">
        <f t="shared" si="2"/>
        <v>52.379999999999995</v>
      </c>
      <c r="K5" s="10">
        <f t="shared" si="3"/>
        <v>66.38</v>
      </c>
      <c r="L5" s="10">
        <f t="shared" si="4"/>
        <v>74.38</v>
      </c>
      <c r="M5" s="10">
        <f t="shared" si="5"/>
        <v>76.38</v>
      </c>
      <c r="N5" s="11">
        <f t="shared" si="6"/>
        <v>82.38</v>
      </c>
      <c r="O5" s="10">
        <f t="shared" si="7"/>
        <v>89.38</v>
      </c>
      <c r="P5" s="10">
        <f t="shared" si="8"/>
        <v>98.38</v>
      </c>
      <c r="Q5" s="10">
        <f t="shared" si="9"/>
        <v>105.38</v>
      </c>
      <c r="R5" s="10">
        <f t="shared" si="10"/>
        <v>112.38</v>
      </c>
      <c r="S5" s="10">
        <f t="shared" si="11"/>
        <v>121.38</v>
      </c>
      <c r="T5" s="10">
        <f t="shared" si="12"/>
        <v>132.38</v>
      </c>
      <c r="U5" s="10">
        <f t="shared" si="13"/>
        <v>141.38</v>
      </c>
      <c r="V5" s="10">
        <f t="shared" si="14"/>
        <v>151.38</v>
      </c>
      <c r="W5" s="10">
        <f t="shared" si="15"/>
        <v>159.38</v>
      </c>
      <c r="X5" s="10">
        <f t="shared" si="16"/>
        <v>175.38</v>
      </c>
      <c r="Y5" s="10">
        <f t="shared" si="17"/>
        <v>180.38</v>
      </c>
      <c r="Z5" s="10">
        <f t="shared" si="18"/>
        <v>181.38</v>
      </c>
      <c r="AA5" s="11">
        <f t="shared" si="19"/>
        <v>82.38</v>
      </c>
      <c r="AB5" s="12">
        <f t="shared" si="20"/>
        <v>89.38</v>
      </c>
      <c r="AC5" s="10">
        <f t="shared" si="21"/>
        <v>101.38</v>
      </c>
      <c r="AD5" s="10">
        <f t="shared" si="22"/>
        <v>113.38</v>
      </c>
      <c r="AE5" s="10">
        <f t="shared" si="23"/>
        <v>123.38</v>
      </c>
      <c r="AF5" s="10">
        <f t="shared" si="24"/>
        <v>132.38</v>
      </c>
      <c r="AG5" s="10">
        <f t="shared" si="25"/>
        <v>138.38</v>
      </c>
      <c r="AH5" s="10">
        <f t="shared" si="26"/>
        <v>148.38</v>
      </c>
      <c r="AI5" s="10">
        <f t="shared" si="27"/>
        <v>150.38</v>
      </c>
      <c r="AJ5" s="10">
        <f t="shared" si="28"/>
        <v>156.38</v>
      </c>
      <c r="AK5" s="13">
        <f t="shared" si="29"/>
        <v>166.38</v>
      </c>
      <c r="AL5" s="43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</row>
    <row r="6" spans="1:70" s="17" customFormat="1" ht="12.75">
      <c r="A6" s="85"/>
      <c r="B6" s="58" t="s">
        <v>5</v>
      </c>
      <c r="C6" s="11">
        <v>70</v>
      </c>
      <c r="D6" s="10">
        <f t="shared" si="0"/>
        <v>23</v>
      </c>
      <c r="E6" s="10">
        <f t="shared" si="30"/>
        <v>12</v>
      </c>
      <c r="F6" s="10">
        <f>C6-70</f>
        <v>0</v>
      </c>
      <c r="G6" s="10">
        <f>C6-54</f>
        <v>16</v>
      </c>
      <c r="H6" s="10">
        <f>C6-46</f>
        <v>24</v>
      </c>
      <c r="I6" s="10">
        <f t="shared" si="1"/>
        <v>26</v>
      </c>
      <c r="J6" s="10">
        <f t="shared" si="2"/>
        <v>40</v>
      </c>
      <c r="K6" s="10">
        <f t="shared" si="3"/>
        <v>54</v>
      </c>
      <c r="L6" s="10">
        <f t="shared" si="4"/>
        <v>62</v>
      </c>
      <c r="M6" s="10">
        <f t="shared" si="5"/>
        <v>64</v>
      </c>
      <c r="N6" s="11">
        <f t="shared" si="6"/>
        <v>70</v>
      </c>
      <c r="O6" s="10">
        <f t="shared" si="7"/>
        <v>77</v>
      </c>
      <c r="P6" s="10">
        <f t="shared" si="8"/>
        <v>86</v>
      </c>
      <c r="Q6" s="10">
        <f t="shared" si="9"/>
        <v>93</v>
      </c>
      <c r="R6" s="10">
        <f t="shared" si="10"/>
        <v>100</v>
      </c>
      <c r="S6" s="10">
        <f t="shared" si="11"/>
        <v>109</v>
      </c>
      <c r="T6" s="10">
        <f t="shared" si="12"/>
        <v>120</v>
      </c>
      <c r="U6" s="10">
        <f t="shared" si="13"/>
        <v>129</v>
      </c>
      <c r="V6" s="10">
        <f t="shared" si="14"/>
        <v>139</v>
      </c>
      <c r="W6" s="10">
        <f t="shared" si="15"/>
        <v>147</v>
      </c>
      <c r="X6" s="10">
        <f t="shared" si="16"/>
        <v>163</v>
      </c>
      <c r="Y6" s="10">
        <f t="shared" si="17"/>
        <v>168</v>
      </c>
      <c r="Z6" s="10">
        <f t="shared" si="18"/>
        <v>169</v>
      </c>
      <c r="AA6" s="11">
        <f t="shared" si="19"/>
        <v>70</v>
      </c>
      <c r="AB6" s="12">
        <f t="shared" si="20"/>
        <v>77</v>
      </c>
      <c r="AC6" s="10">
        <f t="shared" si="21"/>
        <v>89</v>
      </c>
      <c r="AD6" s="10">
        <f t="shared" si="22"/>
        <v>101</v>
      </c>
      <c r="AE6" s="10">
        <f t="shared" si="23"/>
        <v>111</v>
      </c>
      <c r="AF6" s="10">
        <f t="shared" si="24"/>
        <v>120</v>
      </c>
      <c r="AG6" s="10">
        <f t="shared" si="25"/>
        <v>126</v>
      </c>
      <c r="AH6" s="10">
        <f t="shared" si="26"/>
        <v>136</v>
      </c>
      <c r="AI6" s="10">
        <f t="shared" si="27"/>
        <v>138</v>
      </c>
      <c r="AJ6" s="10">
        <f t="shared" si="28"/>
        <v>144</v>
      </c>
      <c r="AK6" s="13">
        <f t="shared" si="29"/>
        <v>154</v>
      </c>
      <c r="AL6" s="43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</row>
    <row r="7" spans="1:70" s="17" customFormat="1" ht="12.75">
      <c r="A7" s="85"/>
      <c r="B7" s="58" t="s">
        <v>6</v>
      </c>
      <c r="C7" s="11">
        <v>53.9</v>
      </c>
      <c r="D7" s="10">
        <f t="shared" si="0"/>
        <v>39.1</v>
      </c>
      <c r="E7" s="10">
        <f t="shared" si="30"/>
        <v>28.1</v>
      </c>
      <c r="F7" s="10">
        <f aca="true" t="shared" si="31" ref="F7:F14">70-C7</f>
        <v>16.1</v>
      </c>
      <c r="G7" s="10">
        <f>C7-54</f>
        <v>-0.10000000000000142</v>
      </c>
      <c r="H7" s="10">
        <f>C7-46</f>
        <v>7.899999999999999</v>
      </c>
      <c r="I7" s="10">
        <f t="shared" si="1"/>
        <v>9.899999999999999</v>
      </c>
      <c r="J7" s="10">
        <f t="shared" si="2"/>
        <v>23.9</v>
      </c>
      <c r="K7" s="10">
        <f t="shared" si="3"/>
        <v>37.9</v>
      </c>
      <c r="L7" s="10">
        <f t="shared" si="4"/>
        <v>45.9</v>
      </c>
      <c r="M7" s="10">
        <f t="shared" si="5"/>
        <v>47.9</v>
      </c>
      <c r="N7" s="11">
        <f t="shared" si="6"/>
        <v>53.9</v>
      </c>
      <c r="O7" s="10">
        <f t="shared" si="7"/>
        <v>60.9</v>
      </c>
      <c r="P7" s="10">
        <f t="shared" si="8"/>
        <v>69.9</v>
      </c>
      <c r="Q7" s="10">
        <f t="shared" si="9"/>
        <v>76.9</v>
      </c>
      <c r="R7" s="10">
        <f t="shared" si="10"/>
        <v>83.9</v>
      </c>
      <c r="S7" s="10">
        <f t="shared" si="11"/>
        <v>92.9</v>
      </c>
      <c r="T7" s="10">
        <f t="shared" si="12"/>
        <v>103.9</v>
      </c>
      <c r="U7" s="10">
        <f t="shared" si="13"/>
        <v>112.9</v>
      </c>
      <c r="V7" s="10">
        <f t="shared" si="14"/>
        <v>122.9</v>
      </c>
      <c r="W7" s="10">
        <f t="shared" si="15"/>
        <v>130.9</v>
      </c>
      <c r="X7" s="10">
        <f t="shared" si="16"/>
        <v>146.9</v>
      </c>
      <c r="Y7" s="10">
        <f t="shared" si="17"/>
        <v>151.9</v>
      </c>
      <c r="Z7" s="10">
        <f t="shared" si="18"/>
        <v>152.9</v>
      </c>
      <c r="AA7" s="11">
        <f t="shared" si="19"/>
        <v>53.9</v>
      </c>
      <c r="AB7" s="12">
        <f t="shared" si="20"/>
        <v>60.9</v>
      </c>
      <c r="AC7" s="10">
        <f t="shared" si="21"/>
        <v>72.9</v>
      </c>
      <c r="AD7" s="10">
        <f t="shared" si="22"/>
        <v>84.9</v>
      </c>
      <c r="AE7" s="10">
        <f t="shared" si="23"/>
        <v>94.9</v>
      </c>
      <c r="AF7" s="10">
        <f t="shared" si="24"/>
        <v>103.9</v>
      </c>
      <c r="AG7" s="10">
        <f t="shared" si="25"/>
        <v>109.9</v>
      </c>
      <c r="AH7" s="10">
        <f t="shared" si="26"/>
        <v>119.9</v>
      </c>
      <c r="AI7" s="10">
        <f t="shared" si="27"/>
        <v>121.9</v>
      </c>
      <c r="AJ7" s="10">
        <f t="shared" si="28"/>
        <v>127.9</v>
      </c>
      <c r="AK7" s="13">
        <f t="shared" si="29"/>
        <v>137.9</v>
      </c>
      <c r="AL7" s="43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</row>
    <row r="8" spans="1:70" s="17" customFormat="1" ht="12.75">
      <c r="A8" s="85"/>
      <c r="B8" s="58" t="s">
        <v>37</v>
      </c>
      <c r="C8" s="11">
        <v>45.5</v>
      </c>
      <c r="D8" s="10">
        <f t="shared" si="0"/>
        <v>47.5</v>
      </c>
      <c r="E8" s="10">
        <f t="shared" si="30"/>
        <v>36.5</v>
      </c>
      <c r="F8" s="10">
        <f t="shared" si="31"/>
        <v>24.5</v>
      </c>
      <c r="G8" s="10">
        <f aca="true" t="shared" si="32" ref="G8:G14">54-C8</f>
        <v>8.5</v>
      </c>
      <c r="H8" s="10">
        <v>0</v>
      </c>
      <c r="I8" s="10">
        <f t="shared" si="1"/>
        <v>1.5</v>
      </c>
      <c r="J8" s="10">
        <f t="shared" si="2"/>
        <v>15.5</v>
      </c>
      <c r="K8" s="10">
        <f t="shared" si="3"/>
        <v>29.5</v>
      </c>
      <c r="L8" s="10">
        <f t="shared" si="4"/>
        <v>37.5</v>
      </c>
      <c r="M8" s="10">
        <f t="shared" si="5"/>
        <v>39.5</v>
      </c>
      <c r="N8" s="11">
        <f t="shared" si="6"/>
        <v>45.5</v>
      </c>
      <c r="O8" s="10">
        <f t="shared" si="7"/>
        <v>52.5</v>
      </c>
      <c r="P8" s="10">
        <f t="shared" si="8"/>
        <v>61.5</v>
      </c>
      <c r="Q8" s="10">
        <f t="shared" si="9"/>
        <v>68.5</v>
      </c>
      <c r="R8" s="10">
        <f t="shared" si="10"/>
        <v>75.5</v>
      </c>
      <c r="S8" s="10">
        <f t="shared" si="11"/>
        <v>84.5</v>
      </c>
      <c r="T8" s="10">
        <f t="shared" si="12"/>
        <v>95.5</v>
      </c>
      <c r="U8" s="10">
        <f t="shared" si="13"/>
        <v>104.5</v>
      </c>
      <c r="V8" s="10">
        <f t="shared" si="14"/>
        <v>114.5</v>
      </c>
      <c r="W8" s="10">
        <f t="shared" si="15"/>
        <v>122.5</v>
      </c>
      <c r="X8" s="10">
        <f t="shared" si="16"/>
        <v>138.5</v>
      </c>
      <c r="Y8" s="10">
        <f t="shared" si="17"/>
        <v>143.5</v>
      </c>
      <c r="Z8" s="10">
        <f t="shared" si="18"/>
        <v>144.5</v>
      </c>
      <c r="AA8" s="11">
        <f t="shared" si="19"/>
        <v>45.5</v>
      </c>
      <c r="AB8" s="12">
        <f t="shared" si="20"/>
        <v>52.5</v>
      </c>
      <c r="AC8" s="10">
        <f t="shared" si="21"/>
        <v>64.5</v>
      </c>
      <c r="AD8" s="10">
        <f t="shared" si="22"/>
        <v>76.5</v>
      </c>
      <c r="AE8" s="10">
        <f t="shared" si="23"/>
        <v>86.5</v>
      </c>
      <c r="AF8" s="10">
        <f t="shared" si="24"/>
        <v>95.5</v>
      </c>
      <c r="AG8" s="10">
        <f t="shared" si="25"/>
        <v>101.5</v>
      </c>
      <c r="AH8" s="10">
        <f t="shared" si="26"/>
        <v>111.5</v>
      </c>
      <c r="AI8" s="10">
        <f t="shared" si="27"/>
        <v>113.5</v>
      </c>
      <c r="AJ8" s="10">
        <f t="shared" si="28"/>
        <v>119.5</v>
      </c>
      <c r="AK8" s="13">
        <f t="shared" si="29"/>
        <v>129.5</v>
      </c>
      <c r="AL8" s="43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</row>
    <row r="9" spans="1:70" s="17" customFormat="1" ht="12.75">
      <c r="A9" s="85"/>
      <c r="B9" s="58" t="s">
        <v>22</v>
      </c>
      <c r="C9" s="11">
        <v>43.9</v>
      </c>
      <c r="D9" s="10">
        <f t="shared" si="0"/>
        <v>49.1</v>
      </c>
      <c r="E9" s="10">
        <f t="shared" si="30"/>
        <v>38.1</v>
      </c>
      <c r="F9" s="10">
        <f t="shared" si="31"/>
        <v>26.1</v>
      </c>
      <c r="G9" s="10">
        <f t="shared" si="32"/>
        <v>10.100000000000001</v>
      </c>
      <c r="H9" s="10">
        <f aca="true" t="shared" si="33" ref="H9:H14">46-C9</f>
        <v>2.1000000000000014</v>
      </c>
      <c r="I9" s="10">
        <f t="shared" si="1"/>
        <v>-0.10000000000000142</v>
      </c>
      <c r="J9" s="10">
        <f t="shared" si="2"/>
        <v>13.899999999999999</v>
      </c>
      <c r="K9" s="10">
        <f t="shared" si="3"/>
        <v>27.9</v>
      </c>
      <c r="L9" s="10">
        <f t="shared" si="4"/>
        <v>35.9</v>
      </c>
      <c r="M9" s="10">
        <f t="shared" si="5"/>
        <v>37.9</v>
      </c>
      <c r="N9" s="11">
        <f t="shared" si="6"/>
        <v>43.9</v>
      </c>
      <c r="O9" s="10">
        <f t="shared" si="7"/>
        <v>50.9</v>
      </c>
      <c r="P9" s="10">
        <f t="shared" si="8"/>
        <v>59.9</v>
      </c>
      <c r="Q9" s="10">
        <f t="shared" si="9"/>
        <v>66.9</v>
      </c>
      <c r="R9" s="10">
        <f t="shared" si="10"/>
        <v>73.9</v>
      </c>
      <c r="S9" s="10">
        <f t="shared" si="11"/>
        <v>82.9</v>
      </c>
      <c r="T9" s="10">
        <f t="shared" si="12"/>
        <v>93.9</v>
      </c>
      <c r="U9" s="10">
        <f t="shared" si="13"/>
        <v>102.9</v>
      </c>
      <c r="V9" s="10">
        <f t="shared" si="14"/>
        <v>112.9</v>
      </c>
      <c r="W9" s="10">
        <f t="shared" si="15"/>
        <v>120.9</v>
      </c>
      <c r="X9" s="10">
        <f t="shared" si="16"/>
        <v>136.9</v>
      </c>
      <c r="Y9" s="10">
        <f t="shared" si="17"/>
        <v>141.9</v>
      </c>
      <c r="Z9" s="10">
        <f t="shared" si="18"/>
        <v>142.9</v>
      </c>
      <c r="AA9" s="11">
        <f t="shared" si="19"/>
        <v>43.9</v>
      </c>
      <c r="AB9" s="12">
        <f t="shared" si="20"/>
        <v>50.9</v>
      </c>
      <c r="AC9" s="10">
        <f t="shared" si="21"/>
        <v>62.9</v>
      </c>
      <c r="AD9" s="10">
        <f t="shared" si="22"/>
        <v>74.9</v>
      </c>
      <c r="AE9" s="10">
        <f t="shared" si="23"/>
        <v>84.9</v>
      </c>
      <c r="AF9" s="10">
        <f t="shared" si="24"/>
        <v>93.9</v>
      </c>
      <c r="AG9" s="10">
        <f t="shared" si="25"/>
        <v>99.9</v>
      </c>
      <c r="AH9" s="10">
        <f t="shared" si="26"/>
        <v>109.9</v>
      </c>
      <c r="AI9" s="10">
        <f t="shared" si="27"/>
        <v>111.9</v>
      </c>
      <c r="AJ9" s="10">
        <f t="shared" si="28"/>
        <v>117.9</v>
      </c>
      <c r="AK9" s="13">
        <f t="shared" si="29"/>
        <v>127.9</v>
      </c>
      <c r="AL9" s="43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</row>
    <row r="10" spans="1:70" s="17" customFormat="1" ht="12.75">
      <c r="A10" s="85"/>
      <c r="B10" s="58" t="s">
        <v>23</v>
      </c>
      <c r="C10" s="11">
        <v>29.7</v>
      </c>
      <c r="D10" s="10">
        <f t="shared" si="0"/>
        <v>63.3</v>
      </c>
      <c r="E10" s="10">
        <f t="shared" si="30"/>
        <v>52.3</v>
      </c>
      <c r="F10" s="10">
        <f t="shared" si="31"/>
        <v>40.3</v>
      </c>
      <c r="G10" s="10">
        <f t="shared" si="32"/>
        <v>24.3</v>
      </c>
      <c r="H10" s="10">
        <f t="shared" si="33"/>
        <v>16.3</v>
      </c>
      <c r="I10" s="10">
        <f>44-C10</f>
        <v>14.3</v>
      </c>
      <c r="J10" s="10">
        <f t="shared" si="2"/>
        <v>-0.3000000000000007</v>
      </c>
      <c r="K10" s="10">
        <f t="shared" si="3"/>
        <v>13.7</v>
      </c>
      <c r="L10" s="10">
        <f t="shared" si="4"/>
        <v>21.7</v>
      </c>
      <c r="M10" s="10">
        <f t="shared" si="5"/>
        <v>23.7</v>
      </c>
      <c r="N10" s="11">
        <f t="shared" si="6"/>
        <v>29.7</v>
      </c>
      <c r="O10" s="10">
        <f t="shared" si="7"/>
        <v>36.7</v>
      </c>
      <c r="P10" s="10">
        <f t="shared" si="8"/>
        <v>45.7</v>
      </c>
      <c r="Q10" s="10">
        <f t="shared" si="9"/>
        <v>52.7</v>
      </c>
      <c r="R10" s="10">
        <f t="shared" si="10"/>
        <v>59.7</v>
      </c>
      <c r="S10" s="10">
        <f t="shared" si="11"/>
        <v>68.7</v>
      </c>
      <c r="T10" s="10">
        <f t="shared" si="12"/>
        <v>79.7</v>
      </c>
      <c r="U10" s="10">
        <f t="shared" si="13"/>
        <v>88.7</v>
      </c>
      <c r="V10" s="10">
        <f t="shared" si="14"/>
        <v>98.7</v>
      </c>
      <c r="W10" s="10">
        <f t="shared" si="15"/>
        <v>106.7</v>
      </c>
      <c r="X10" s="10">
        <f t="shared" si="16"/>
        <v>122.7</v>
      </c>
      <c r="Y10" s="10">
        <f t="shared" si="17"/>
        <v>127.7</v>
      </c>
      <c r="Z10" s="10">
        <f t="shared" si="18"/>
        <v>128.7</v>
      </c>
      <c r="AA10" s="11">
        <f t="shared" si="19"/>
        <v>29.7</v>
      </c>
      <c r="AB10" s="12">
        <f t="shared" si="20"/>
        <v>36.7</v>
      </c>
      <c r="AC10" s="10">
        <f t="shared" si="21"/>
        <v>48.7</v>
      </c>
      <c r="AD10" s="10">
        <f t="shared" si="22"/>
        <v>60.7</v>
      </c>
      <c r="AE10" s="10">
        <f t="shared" si="23"/>
        <v>70.7</v>
      </c>
      <c r="AF10" s="10">
        <f t="shared" si="24"/>
        <v>79.7</v>
      </c>
      <c r="AG10" s="10">
        <f t="shared" si="25"/>
        <v>85.7</v>
      </c>
      <c r="AH10" s="10">
        <f t="shared" si="26"/>
        <v>95.7</v>
      </c>
      <c r="AI10" s="10">
        <f t="shared" si="27"/>
        <v>97.7</v>
      </c>
      <c r="AJ10" s="10">
        <f t="shared" si="28"/>
        <v>103.7</v>
      </c>
      <c r="AK10" s="13">
        <f t="shared" si="29"/>
        <v>113.7</v>
      </c>
      <c r="AL10" s="43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</row>
    <row r="11" spans="1:70" s="17" customFormat="1" ht="12.75">
      <c r="A11" s="85"/>
      <c r="B11" s="58" t="s">
        <v>24</v>
      </c>
      <c r="C11" s="11">
        <v>16.4</v>
      </c>
      <c r="D11" s="10">
        <f t="shared" si="0"/>
        <v>76.6</v>
      </c>
      <c r="E11" s="10">
        <f t="shared" si="30"/>
        <v>65.6</v>
      </c>
      <c r="F11" s="10">
        <f t="shared" si="31"/>
        <v>53.6</v>
      </c>
      <c r="G11" s="10">
        <f t="shared" si="32"/>
        <v>37.6</v>
      </c>
      <c r="H11" s="10">
        <f t="shared" si="33"/>
        <v>29.6</v>
      </c>
      <c r="I11" s="10">
        <f>44-C11</f>
        <v>27.6</v>
      </c>
      <c r="J11" s="10">
        <f>30-C11</f>
        <v>13.600000000000001</v>
      </c>
      <c r="K11" s="10">
        <f t="shared" si="3"/>
        <v>0.3999999999999986</v>
      </c>
      <c r="L11" s="10">
        <f t="shared" si="4"/>
        <v>8.399999999999999</v>
      </c>
      <c r="M11" s="10">
        <f t="shared" si="5"/>
        <v>10.399999999999999</v>
      </c>
      <c r="N11" s="11">
        <f t="shared" si="6"/>
        <v>16.4</v>
      </c>
      <c r="O11" s="10">
        <f t="shared" si="7"/>
        <v>23.4</v>
      </c>
      <c r="P11" s="10">
        <f t="shared" si="8"/>
        <v>32.4</v>
      </c>
      <c r="Q11" s="10">
        <f t="shared" si="9"/>
        <v>39.4</v>
      </c>
      <c r="R11" s="10">
        <f t="shared" si="10"/>
        <v>46.4</v>
      </c>
      <c r="S11" s="10">
        <f t="shared" si="11"/>
        <v>55.4</v>
      </c>
      <c r="T11" s="10">
        <f t="shared" si="12"/>
        <v>66.4</v>
      </c>
      <c r="U11" s="10">
        <f t="shared" si="13"/>
        <v>75.4</v>
      </c>
      <c r="V11" s="10">
        <f t="shared" si="14"/>
        <v>85.4</v>
      </c>
      <c r="W11" s="10">
        <f t="shared" si="15"/>
        <v>93.4</v>
      </c>
      <c r="X11" s="10">
        <f t="shared" si="16"/>
        <v>109.4</v>
      </c>
      <c r="Y11" s="10">
        <f t="shared" si="17"/>
        <v>114.4</v>
      </c>
      <c r="Z11" s="10">
        <f t="shared" si="18"/>
        <v>115.4</v>
      </c>
      <c r="AA11" s="11">
        <f t="shared" si="19"/>
        <v>16.4</v>
      </c>
      <c r="AB11" s="12">
        <f t="shared" si="20"/>
        <v>23.4</v>
      </c>
      <c r="AC11" s="10">
        <f t="shared" si="21"/>
        <v>35.4</v>
      </c>
      <c r="AD11" s="10">
        <f t="shared" si="22"/>
        <v>47.4</v>
      </c>
      <c r="AE11" s="10">
        <f t="shared" si="23"/>
        <v>57.4</v>
      </c>
      <c r="AF11" s="10">
        <f t="shared" si="24"/>
        <v>66.4</v>
      </c>
      <c r="AG11" s="10">
        <f t="shared" si="25"/>
        <v>72.4</v>
      </c>
      <c r="AH11" s="10">
        <f t="shared" si="26"/>
        <v>82.4</v>
      </c>
      <c r="AI11" s="10">
        <f t="shared" si="27"/>
        <v>84.4</v>
      </c>
      <c r="AJ11" s="10">
        <f t="shared" si="28"/>
        <v>90.4</v>
      </c>
      <c r="AK11" s="13">
        <f t="shared" si="29"/>
        <v>100.4</v>
      </c>
      <c r="AL11" s="43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</row>
    <row r="12" spans="1:70" s="17" customFormat="1" ht="12.75">
      <c r="A12" s="85"/>
      <c r="B12" s="58" t="s">
        <v>25</v>
      </c>
      <c r="C12" s="11">
        <v>8.1</v>
      </c>
      <c r="D12" s="10">
        <f t="shared" si="0"/>
        <v>84.9</v>
      </c>
      <c r="E12" s="10">
        <f t="shared" si="30"/>
        <v>73.9</v>
      </c>
      <c r="F12" s="10">
        <f t="shared" si="31"/>
        <v>61.9</v>
      </c>
      <c r="G12" s="10">
        <f t="shared" si="32"/>
        <v>45.9</v>
      </c>
      <c r="H12" s="10">
        <f t="shared" si="33"/>
        <v>37.9</v>
      </c>
      <c r="I12" s="10">
        <f>44-C12</f>
        <v>35.9</v>
      </c>
      <c r="J12" s="10">
        <f>30-C12</f>
        <v>21.9</v>
      </c>
      <c r="K12" s="10">
        <f>16-C12</f>
        <v>7.9</v>
      </c>
      <c r="L12" s="10">
        <f t="shared" si="4"/>
        <v>0.09999999999999964</v>
      </c>
      <c r="M12" s="10">
        <f t="shared" si="5"/>
        <v>2.0999999999999996</v>
      </c>
      <c r="N12" s="11">
        <f t="shared" si="6"/>
        <v>8.1</v>
      </c>
      <c r="O12" s="10">
        <f t="shared" si="7"/>
        <v>15.1</v>
      </c>
      <c r="P12" s="10">
        <f t="shared" si="8"/>
        <v>24.1</v>
      </c>
      <c r="Q12" s="10">
        <f t="shared" si="9"/>
        <v>31.1</v>
      </c>
      <c r="R12" s="10">
        <f t="shared" si="10"/>
        <v>38.1</v>
      </c>
      <c r="S12" s="10">
        <f t="shared" si="11"/>
        <v>47.1</v>
      </c>
      <c r="T12" s="10">
        <f t="shared" si="12"/>
        <v>58.1</v>
      </c>
      <c r="U12" s="10">
        <f t="shared" si="13"/>
        <v>67.1</v>
      </c>
      <c r="V12" s="10">
        <f t="shared" si="14"/>
        <v>77.1</v>
      </c>
      <c r="W12" s="10">
        <f t="shared" si="15"/>
        <v>85.1</v>
      </c>
      <c r="X12" s="10">
        <f t="shared" si="16"/>
        <v>101.1</v>
      </c>
      <c r="Y12" s="10">
        <f t="shared" si="17"/>
        <v>106.1</v>
      </c>
      <c r="Z12" s="10">
        <f t="shared" si="18"/>
        <v>107.1</v>
      </c>
      <c r="AA12" s="11">
        <f t="shared" si="19"/>
        <v>8.1</v>
      </c>
      <c r="AB12" s="12">
        <f t="shared" si="20"/>
        <v>15.1</v>
      </c>
      <c r="AC12" s="10">
        <f t="shared" si="21"/>
        <v>27.1</v>
      </c>
      <c r="AD12" s="10">
        <f t="shared" si="22"/>
        <v>39.1</v>
      </c>
      <c r="AE12" s="10">
        <f t="shared" si="23"/>
        <v>49.1</v>
      </c>
      <c r="AF12" s="10">
        <f t="shared" si="24"/>
        <v>58.1</v>
      </c>
      <c r="AG12" s="10">
        <f t="shared" si="25"/>
        <v>64.1</v>
      </c>
      <c r="AH12" s="10">
        <f t="shared" si="26"/>
        <v>74.1</v>
      </c>
      <c r="AI12" s="10">
        <f t="shared" si="27"/>
        <v>76.1</v>
      </c>
      <c r="AJ12" s="10">
        <f t="shared" si="28"/>
        <v>82.1</v>
      </c>
      <c r="AK12" s="13">
        <f t="shared" si="29"/>
        <v>92.1</v>
      </c>
      <c r="AL12" s="43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</row>
    <row r="13" spans="1:70" s="17" customFormat="1" ht="12.75">
      <c r="A13" s="86"/>
      <c r="B13" s="58" t="s">
        <v>26</v>
      </c>
      <c r="C13" s="68">
        <v>5.8</v>
      </c>
      <c r="D13" s="10">
        <f t="shared" si="0"/>
        <v>87.2</v>
      </c>
      <c r="E13" s="10">
        <f t="shared" si="30"/>
        <v>76.2</v>
      </c>
      <c r="F13" s="10">
        <f t="shared" si="31"/>
        <v>64.2</v>
      </c>
      <c r="G13" s="10">
        <f t="shared" si="32"/>
        <v>48.2</v>
      </c>
      <c r="H13" s="10">
        <f t="shared" si="33"/>
        <v>40.2</v>
      </c>
      <c r="I13" s="10">
        <f>44-C13</f>
        <v>38.2</v>
      </c>
      <c r="J13" s="10">
        <f>30-C13</f>
        <v>24.2</v>
      </c>
      <c r="K13" s="10">
        <f>16-C13</f>
        <v>10.2</v>
      </c>
      <c r="L13" s="10">
        <f>8-C13</f>
        <v>2.2</v>
      </c>
      <c r="M13" s="10">
        <f t="shared" si="5"/>
        <v>-0.20000000000000018</v>
      </c>
      <c r="N13" s="11">
        <f t="shared" si="6"/>
        <v>5.8</v>
      </c>
      <c r="O13" s="10">
        <f t="shared" si="7"/>
        <v>12.8</v>
      </c>
      <c r="P13" s="10">
        <f t="shared" si="8"/>
        <v>21.8</v>
      </c>
      <c r="Q13" s="10">
        <f t="shared" si="9"/>
        <v>28.8</v>
      </c>
      <c r="R13" s="10">
        <f t="shared" si="10"/>
        <v>35.8</v>
      </c>
      <c r="S13" s="10">
        <f t="shared" si="11"/>
        <v>44.8</v>
      </c>
      <c r="T13" s="10">
        <f t="shared" si="12"/>
        <v>55.8</v>
      </c>
      <c r="U13" s="10">
        <f t="shared" si="13"/>
        <v>64.8</v>
      </c>
      <c r="V13" s="10">
        <f t="shared" si="14"/>
        <v>74.8</v>
      </c>
      <c r="W13" s="10">
        <f t="shared" si="15"/>
        <v>82.8</v>
      </c>
      <c r="X13" s="10">
        <f t="shared" si="16"/>
        <v>98.8</v>
      </c>
      <c r="Y13" s="10">
        <f t="shared" si="17"/>
        <v>103.8</v>
      </c>
      <c r="Z13" s="10">
        <f t="shared" si="18"/>
        <v>104.8</v>
      </c>
      <c r="AA13" s="11">
        <f t="shared" si="19"/>
        <v>5.8</v>
      </c>
      <c r="AB13" s="12">
        <f t="shared" si="20"/>
        <v>12.8</v>
      </c>
      <c r="AC13" s="10">
        <f t="shared" si="21"/>
        <v>24.8</v>
      </c>
      <c r="AD13" s="10">
        <f t="shared" si="22"/>
        <v>36.8</v>
      </c>
      <c r="AE13" s="10">
        <f t="shared" si="23"/>
        <v>46.8</v>
      </c>
      <c r="AF13" s="10">
        <f t="shared" si="24"/>
        <v>55.8</v>
      </c>
      <c r="AG13" s="10">
        <f t="shared" si="25"/>
        <v>61.8</v>
      </c>
      <c r="AH13" s="10">
        <f t="shared" si="26"/>
        <v>71.8</v>
      </c>
      <c r="AI13" s="10">
        <f t="shared" si="27"/>
        <v>73.8</v>
      </c>
      <c r="AJ13" s="10">
        <f t="shared" si="28"/>
        <v>79.8</v>
      </c>
      <c r="AK13" s="13">
        <f t="shared" si="29"/>
        <v>89.8</v>
      </c>
      <c r="AL13" s="43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</row>
    <row r="14" spans="1:70" s="9" customFormat="1" ht="12.75">
      <c r="A14" s="79"/>
      <c r="B14" s="3" t="s">
        <v>43</v>
      </c>
      <c r="C14" s="5">
        <v>0</v>
      </c>
      <c r="D14" s="4">
        <f t="shared" si="0"/>
        <v>93</v>
      </c>
      <c r="E14" s="4">
        <f t="shared" si="30"/>
        <v>82</v>
      </c>
      <c r="F14" s="4">
        <f t="shared" si="31"/>
        <v>70</v>
      </c>
      <c r="G14" s="4">
        <f t="shared" si="32"/>
        <v>54</v>
      </c>
      <c r="H14" s="4">
        <f t="shared" si="33"/>
        <v>46</v>
      </c>
      <c r="I14" s="4">
        <f>44-C14</f>
        <v>44</v>
      </c>
      <c r="J14" s="4">
        <f>30-C14</f>
        <v>30</v>
      </c>
      <c r="K14" s="4">
        <f>16-C14</f>
        <v>16</v>
      </c>
      <c r="L14" s="4">
        <f>8-C14</f>
        <v>8</v>
      </c>
      <c r="M14" s="4">
        <f>6-C14</f>
        <v>6</v>
      </c>
      <c r="N14" s="5">
        <f t="shared" si="6"/>
        <v>0</v>
      </c>
      <c r="O14" s="4">
        <f t="shared" si="7"/>
        <v>7</v>
      </c>
      <c r="P14" s="4">
        <f t="shared" si="8"/>
        <v>16</v>
      </c>
      <c r="Q14" s="4">
        <f t="shared" si="9"/>
        <v>23</v>
      </c>
      <c r="R14" s="4">
        <f t="shared" si="10"/>
        <v>30</v>
      </c>
      <c r="S14" s="4">
        <f t="shared" si="11"/>
        <v>39</v>
      </c>
      <c r="T14" s="4">
        <f t="shared" si="12"/>
        <v>50</v>
      </c>
      <c r="U14" s="4">
        <f t="shared" si="13"/>
        <v>59</v>
      </c>
      <c r="V14" s="4">
        <f t="shared" si="14"/>
        <v>69</v>
      </c>
      <c r="W14" s="4">
        <f t="shared" si="15"/>
        <v>77</v>
      </c>
      <c r="X14" s="4">
        <f t="shared" si="16"/>
        <v>93</v>
      </c>
      <c r="Y14" s="4">
        <f t="shared" si="17"/>
        <v>98</v>
      </c>
      <c r="Z14" s="4">
        <f t="shared" si="18"/>
        <v>99</v>
      </c>
      <c r="AA14" s="5">
        <f t="shared" si="19"/>
        <v>0</v>
      </c>
      <c r="AB14" s="6">
        <f t="shared" si="20"/>
        <v>7</v>
      </c>
      <c r="AC14" s="4">
        <f t="shared" si="21"/>
        <v>19</v>
      </c>
      <c r="AD14" s="4">
        <f t="shared" si="22"/>
        <v>31</v>
      </c>
      <c r="AE14" s="4">
        <f t="shared" si="23"/>
        <v>41</v>
      </c>
      <c r="AF14" s="4">
        <f t="shared" si="24"/>
        <v>50</v>
      </c>
      <c r="AG14" s="4">
        <f t="shared" si="25"/>
        <v>56</v>
      </c>
      <c r="AH14" s="4">
        <f t="shared" si="26"/>
        <v>66</v>
      </c>
      <c r="AI14" s="4">
        <f t="shared" si="27"/>
        <v>68</v>
      </c>
      <c r="AJ14" s="4">
        <f t="shared" si="28"/>
        <v>74</v>
      </c>
      <c r="AK14" s="7">
        <f t="shared" si="29"/>
        <v>84</v>
      </c>
      <c r="AL14" s="44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</row>
    <row r="15" spans="1:70" s="17" customFormat="1" ht="12.75">
      <c r="A15" s="84" t="s">
        <v>1</v>
      </c>
      <c r="B15" s="58" t="s">
        <v>7</v>
      </c>
      <c r="C15" s="11">
        <v>6.6</v>
      </c>
      <c r="D15" s="10">
        <f aca="true" t="shared" si="34" ref="D15:D37">93+C15</f>
        <v>99.6</v>
      </c>
      <c r="E15" s="10">
        <f aca="true" t="shared" si="35" ref="E15:E37">82+C15</f>
        <v>88.6</v>
      </c>
      <c r="F15" s="10">
        <f aca="true" t="shared" si="36" ref="F15:F37">70+C15</f>
        <v>76.6</v>
      </c>
      <c r="G15" s="10">
        <f aca="true" t="shared" si="37" ref="G15:G37">54+C15</f>
        <v>60.6</v>
      </c>
      <c r="H15" s="10">
        <f aca="true" t="shared" si="38" ref="H15:H37">46+C15</f>
        <v>52.6</v>
      </c>
      <c r="I15" s="10">
        <f aca="true" t="shared" si="39" ref="I15:I37">44+C15</f>
        <v>50.6</v>
      </c>
      <c r="J15" s="10">
        <f aca="true" t="shared" si="40" ref="J15:J37">30+C15</f>
        <v>36.6</v>
      </c>
      <c r="K15" s="10">
        <f aca="true" t="shared" si="41" ref="K15:K37">16+C15</f>
        <v>22.6</v>
      </c>
      <c r="L15" s="10">
        <f aca="true" t="shared" si="42" ref="L15:L37">8+C15</f>
        <v>14.6</v>
      </c>
      <c r="M15" s="10">
        <f aca="true" t="shared" si="43" ref="M15:M37">6+C15</f>
        <v>12.6</v>
      </c>
      <c r="N15" s="11">
        <f t="shared" si="6"/>
        <v>6.6</v>
      </c>
      <c r="O15" s="10">
        <f aca="true" t="shared" si="44" ref="O15:O26">C15-7</f>
        <v>-0.40000000000000036</v>
      </c>
      <c r="P15" s="10">
        <f>16-C15</f>
        <v>9.4</v>
      </c>
      <c r="Q15" s="10">
        <f>23-C15</f>
        <v>16.4</v>
      </c>
      <c r="R15" s="10">
        <f>30-C15</f>
        <v>23.4</v>
      </c>
      <c r="S15" s="10">
        <f>39-C15</f>
        <v>32.4</v>
      </c>
      <c r="T15" s="10">
        <f aca="true" t="shared" si="45" ref="T15:T20">50-C15</f>
        <v>43.4</v>
      </c>
      <c r="U15" s="10">
        <f aca="true" t="shared" si="46" ref="U15:U21">59-C15</f>
        <v>52.4</v>
      </c>
      <c r="V15" s="10">
        <f aca="true" t="shared" si="47" ref="V15:V22">69-C15</f>
        <v>62.4</v>
      </c>
      <c r="W15" s="10">
        <f aca="true" t="shared" si="48" ref="W15:W23">77-C15</f>
        <v>70.4</v>
      </c>
      <c r="X15" s="10">
        <f aca="true" t="shared" si="49" ref="X15:X24">93-C15</f>
        <v>86.4</v>
      </c>
      <c r="Y15" s="10">
        <f aca="true" t="shared" si="50" ref="Y15:Y25">98-C15</f>
        <v>91.4</v>
      </c>
      <c r="Z15" s="10">
        <f aca="true" t="shared" si="51" ref="Z15:Z27">99-C15</f>
        <v>92.4</v>
      </c>
      <c r="AA15" s="11">
        <f t="shared" si="19"/>
        <v>6.6</v>
      </c>
      <c r="AB15" s="12">
        <f t="shared" si="20"/>
        <v>13.6</v>
      </c>
      <c r="AC15" s="10">
        <f>19-C15</f>
        <v>12.4</v>
      </c>
      <c r="AD15" s="10">
        <f aca="true" t="shared" si="52" ref="AD15:AD27">31+C15</f>
        <v>37.6</v>
      </c>
      <c r="AE15" s="10">
        <f t="shared" si="23"/>
        <v>47.6</v>
      </c>
      <c r="AF15" s="10">
        <f t="shared" si="24"/>
        <v>56.6</v>
      </c>
      <c r="AG15" s="10">
        <f t="shared" si="25"/>
        <v>62.6</v>
      </c>
      <c r="AH15" s="10">
        <f t="shared" si="26"/>
        <v>72.6</v>
      </c>
      <c r="AI15" s="10">
        <f t="shared" si="27"/>
        <v>74.6</v>
      </c>
      <c r="AJ15" s="10">
        <f t="shared" si="28"/>
        <v>80.6</v>
      </c>
      <c r="AK15" s="13">
        <f t="shared" si="29"/>
        <v>90.6</v>
      </c>
      <c r="AL15" s="43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</row>
    <row r="16" spans="1:70" s="17" customFormat="1" ht="12.75">
      <c r="A16" s="85"/>
      <c r="B16" s="58" t="s">
        <v>8</v>
      </c>
      <c r="C16" s="11">
        <v>15.5</v>
      </c>
      <c r="D16" s="10">
        <f t="shared" si="34"/>
        <v>108.5</v>
      </c>
      <c r="E16" s="10">
        <f t="shared" si="35"/>
        <v>97.5</v>
      </c>
      <c r="F16" s="10">
        <f t="shared" si="36"/>
        <v>85.5</v>
      </c>
      <c r="G16" s="10">
        <f t="shared" si="37"/>
        <v>69.5</v>
      </c>
      <c r="H16" s="10">
        <f t="shared" si="38"/>
        <v>61.5</v>
      </c>
      <c r="I16" s="10">
        <f t="shared" si="39"/>
        <v>59.5</v>
      </c>
      <c r="J16" s="10">
        <f t="shared" si="40"/>
        <v>45.5</v>
      </c>
      <c r="K16" s="10">
        <f t="shared" si="41"/>
        <v>31.5</v>
      </c>
      <c r="L16" s="10">
        <f t="shared" si="42"/>
        <v>23.5</v>
      </c>
      <c r="M16" s="10">
        <f t="shared" si="43"/>
        <v>21.5</v>
      </c>
      <c r="N16" s="11">
        <f t="shared" si="6"/>
        <v>15.5</v>
      </c>
      <c r="O16" s="10">
        <f t="shared" si="44"/>
        <v>8.5</v>
      </c>
      <c r="P16" s="10">
        <f>16-C16</f>
        <v>0.5</v>
      </c>
      <c r="Q16" s="10">
        <f>23-C16</f>
        <v>7.5</v>
      </c>
      <c r="R16" s="10">
        <f>30-C16</f>
        <v>14.5</v>
      </c>
      <c r="S16" s="10">
        <f>39-C16</f>
        <v>23.5</v>
      </c>
      <c r="T16" s="10">
        <f t="shared" si="45"/>
        <v>34.5</v>
      </c>
      <c r="U16" s="10">
        <f t="shared" si="46"/>
        <v>43.5</v>
      </c>
      <c r="V16" s="10">
        <f t="shared" si="47"/>
        <v>53.5</v>
      </c>
      <c r="W16" s="10">
        <f t="shared" si="48"/>
        <v>61.5</v>
      </c>
      <c r="X16" s="10">
        <f t="shared" si="49"/>
        <v>77.5</v>
      </c>
      <c r="Y16" s="10">
        <f t="shared" si="50"/>
        <v>82.5</v>
      </c>
      <c r="Z16" s="10">
        <f t="shared" si="51"/>
        <v>83.5</v>
      </c>
      <c r="AA16" s="11">
        <f t="shared" si="19"/>
        <v>15.5</v>
      </c>
      <c r="AB16" s="12">
        <f t="shared" si="20"/>
        <v>22.5</v>
      </c>
      <c r="AC16" s="10">
        <f>19-C16</f>
        <v>3.5</v>
      </c>
      <c r="AD16" s="10">
        <f t="shared" si="52"/>
        <v>46.5</v>
      </c>
      <c r="AE16" s="10">
        <f t="shared" si="23"/>
        <v>56.5</v>
      </c>
      <c r="AF16" s="10">
        <f t="shared" si="24"/>
        <v>65.5</v>
      </c>
      <c r="AG16" s="10">
        <f t="shared" si="25"/>
        <v>71.5</v>
      </c>
      <c r="AH16" s="10">
        <f t="shared" si="26"/>
        <v>81.5</v>
      </c>
      <c r="AI16" s="10">
        <f t="shared" si="27"/>
        <v>83.5</v>
      </c>
      <c r="AJ16" s="10">
        <f t="shared" si="28"/>
        <v>89.5</v>
      </c>
      <c r="AK16" s="13">
        <f t="shared" si="29"/>
        <v>99.5</v>
      </c>
      <c r="AL16" s="43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</row>
    <row r="17" spans="1:70" s="17" customFormat="1" ht="12.75">
      <c r="A17" s="85"/>
      <c r="B17" s="58" t="s">
        <v>9</v>
      </c>
      <c r="C17" s="11">
        <v>22.9</v>
      </c>
      <c r="D17" s="10">
        <f t="shared" si="34"/>
        <v>115.9</v>
      </c>
      <c r="E17" s="10">
        <f t="shared" si="35"/>
        <v>104.9</v>
      </c>
      <c r="F17" s="10">
        <f t="shared" si="36"/>
        <v>92.9</v>
      </c>
      <c r="G17" s="10">
        <f t="shared" si="37"/>
        <v>76.9</v>
      </c>
      <c r="H17" s="10">
        <f t="shared" si="38"/>
        <v>68.9</v>
      </c>
      <c r="I17" s="10">
        <f t="shared" si="39"/>
        <v>66.9</v>
      </c>
      <c r="J17" s="10">
        <f t="shared" si="40"/>
        <v>52.9</v>
      </c>
      <c r="K17" s="10">
        <f t="shared" si="41"/>
        <v>38.9</v>
      </c>
      <c r="L17" s="10">
        <f t="shared" si="42"/>
        <v>30.9</v>
      </c>
      <c r="M17" s="10">
        <f t="shared" si="43"/>
        <v>28.9</v>
      </c>
      <c r="N17" s="11">
        <f t="shared" si="6"/>
        <v>22.9</v>
      </c>
      <c r="O17" s="10">
        <f t="shared" si="44"/>
        <v>15.899999999999999</v>
      </c>
      <c r="P17" s="10">
        <f aca="true" t="shared" si="53" ref="P17:P26">C17-16</f>
        <v>6.899999999999999</v>
      </c>
      <c r="Q17" s="10">
        <f>23-C17</f>
        <v>0.10000000000000142</v>
      </c>
      <c r="R17" s="10">
        <f>30-C17</f>
        <v>7.100000000000001</v>
      </c>
      <c r="S17" s="10">
        <f>39-C17</f>
        <v>16.1</v>
      </c>
      <c r="T17" s="10">
        <f t="shared" si="45"/>
        <v>27.1</v>
      </c>
      <c r="U17" s="10">
        <f t="shared" si="46"/>
        <v>36.1</v>
      </c>
      <c r="V17" s="10">
        <f t="shared" si="47"/>
        <v>46.1</v>
      </c>
      <c r="W17" s="10">
        <f t="shared" si="48"/>
        <v>54.1</v>
      </c>
      <c r="X17" s="10">
        <f t="shared" si="49"/>
        <v>70.1</v>
      </c>
      <c r="Y17" s="10">
        <f t="shared" si="50"/>
        <v>75.1</v>
      </c>
      <c r="Z17" s="10">
        <f t="shared" si="51"/>
        <v>76.1</v>
      </c>
      <c r="AA17" s="11">
        <f t="shared" si="19"/>
        <v>22.9</v>
      </c>
      <c r="AB17" s="12">
        <f t="shared" si="20"/>
        <v>29.9</v>
      </c>
      <c r="AC17" s="10">
        <f aca="true" t="shared" si="54" ref="AC17:AC26">C17-19</f>
        <v>3.8999999999999986</v>
      </c>
      <c r="AD17" s="10">
        <f t="shared" si="52"/>
        <v>53.9</v>
      </c>
      <c r="AE17" s="10">
        <f t="shared" si="23"/>
        <v>63.9</v>
      </c>
      <c r="AF17" s="10">
        <f t="shared" si="24"/>
        <v>72.9</v>
      </c>
      <c r="AG17" s="10">
        <f t="shared" si="25"/>
        <v>78.9</v>
      </c>
      <c r="AH17" s="10">
        <f t="shared" si="26"/>
        <v>88.9</v>
      </c>
      <c r="AI17" s="10">
        <f t="shared" si="27"/>
        <v>90.9</v>
      </c>
      <c r="AJ17" s="10">
        <f t="shared" si="28"/>
        <v>96.9</v>
      </c>
      <c r="AK17" s="13">
        <f t="shared" si="29"/>
        <v>106.9</v>
      </c>
      <c r="AL17" s="43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</row>
    <row r="18" spans="1:70" s="17" customFormat="1" ht="12.75">
      <c r="A18" s="85"/>
      <c r="B18" s="58" t="s">
        <v>10</v>
      </c>
      <c r="C18" s="11">
        <v>29.6</v>
      </c>
      <c r="D18" s="10">
        <f t="shared" si="34"/>
        <v>122.6</v>
      </c>
      <c r="E18" s="10">
        <f t="shared" si="35"/>
        <v>111.6</v>
      </c>
      <c r="F18" s="10">
        <f t="shared" si="36"/>
        <v>99.6</v>
      </c>
      <c r="G18" s="10">
        <f t="shared" si="37"/>
        <v>83.6</v>
      </c>
      <c r="H18" s="10">
        <f t="shared" si="38"/>
        <v>75.6</v>
      </c>
      <c r="I18" s="10">
        <f t="shared" si="39"/>
        <v>73.6</v>
      </c>
      <c r="J18" s="10">
        <f t="shared" si="40"/>
        <v>59.6</v>
      </c>
      <c r="K18" s="10">
        <f t="shared" si="41"/>
        <v>45.6</v>
      </c>
      <c r="L18" s="10">
        <f t="shared" si="42"/>
        <v>37.6</v>
      </c>
      <c r="M18" s="10">
        <f t="shared" si="43"/>
        <v>35.6</v>
      </c>
      <c r="N18" s="11">
        <f t="shared" si="6"/>
        <v>29.6</v>
      </c>
      <c r="O18" s="10">
        <f t="shared" si="44"/>
        <v>22.6</v>
      </c>
      <c r="P18" s="10">
        <f t="shared" si="53"/>
        <v>13.600000000000001</v>
      </c>
      <c r="Q18" s="10">
        <f aca="true" t="shared" si="55" ref="Q18:Q26">C18-23</f>
        <v>6.600000000000001</v>
      </c>
      <c r="R18" s="10">
        <f>30-C18</f>
        <v>0.3999999999999986</v>
      </c>
      <c r="S18" s="10">
        <f>39-C18</f>
        <v>9.399999999999999</v>
      </c>
      <c r="T18" s="10">
        <f t="shared" si="45"/>
        <v>20.4</v>
      </c>
      <c r="U18" s="10">
        <f t="shared" si="46"/>
        <v>29.4</v>
      </c>
      <c r="V18" s="10">
        <f t="shared" si="47"/>
        <v>39.4</v>
      </c>
      <c r="W18" s="10">
        <f t="shared" si="48"/>
        <v>47.4</v>
      </c>
      <c r="X18" s="10">
        <f t="shared" si="49"/>
        <v>63.4</v>
      </c>
      <c r="Y18" s="10">
        <f t="shared" si="50"/>
        <v>68.4</v>
      </c>
      <c r="Z18" s="10">
        <f t="shared" si="51"/>
        <v>69.4</v>
      </c>
      <c r="AA18" s="11">
        <f t="shared" si="19"/>
        <v>29.6</v>
      </c>
      <c r="AB18" s="12">
        <f t="shared" si="20"/>
        <v>36.6</v>
      </c>
      <c r="AC18" s="10">
        <f t="shared" si="54"/>
        <v>10.600000000000001</v>
      </c>
      <c r="AD18" s="10">
        <f t="shared" si="52"/>
        <v>60.6</v>
      </c>
      <c r="AE18" s="10">
        <f t="shared" si="23"/>
        <v>70.6</v>
      </c>
      <c r="AF18" s="10">
        <f t="shared" si="24"/>
        <v>79.6</v>
      </c>
      <c r="AG18" s="10">
        <f t="shared" si="25"/>
        <v>85.6</v>
      </c>
      <c r="AH18" s="10">
        <f t="shared" si="26"/>
        <v>95.6</v>
      </c>
      <c r="AI18" s="10">
        <f t="shared" si="27"/>
        <v>97.6</v>
      </c>
      <c r="AJ18" s="10">
        <f t="shared" si="28"/>
        <v>103.6</v>
      </c>
      <c r="AK18" s="13">
        <f t="shared" si="29"/>
        <v>113.6</v>
      </c>
      <c r="AL18" s="43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</row>
    <row r="19" spans="1:70" s="17" customFormat="1" ht="12.75">
      <c r="A19" s="85"/>
      <c r="B19" s="58" t="s">
        <v>11</v>
      </c>
      <c r="C19" s="11">
        <v>38.6</v>
      </c>
      <c r="D19" s="10">
        <f t="shared" si="34"/>
        <v>131.6</v>
      </c>
      <c r="E19" s="10">
        <f t="shared" si="35"/>
        <v>120.6</v>
      </c>
      <c r="F19" s="10">
        <f t="shared" si="36"/>
        <v>108.6</v>
      </c>
      <c r="G19" s="10">
        <f t="shared" si="37"/>
        <v>92.6</v>
      </c>
      <c r="H19" s="10">
        <f t="shared" si="38"/>
        <v>84.6</v>
      </c>
      <c r="I19" s="10">
        <f t="shared" si="39"/>
        <v>82.6</v>
      </c>
      <c r="J19" s="10">
        <f t="shared" si="40"/>
        <v>68.6</v>
      </c>
      <c r="K19" s="10">
        <f t="shared" si="41"/>
        <v>54.6</v>
      </c>
      <c r="L19" s="10">
        <f t="shared" si="42"/>
        <v>46.6</v>
      </c>
      <c r="M19" s="10">
        <f t="shared" si="43"/>
        <v>44.6</v>
      </c>
      <c r="N19" s="11">
        <f t="shared" si="6"/>
        <v>38.6</v>
      </c>
      <c r="O19" s="10">
        <f t="shared" si="44"/>
        <v>31.6</v>
      </c>
      <c r="P19" s="10">
        <f t="shared" si="53"/>
        <v>22.6</v>
      </c>
      <c r="Q19" s="10">
        <f t="shared" si="55"/>
        <v>15.600000000000001</v>
      </c>
      <c r="R19" s="10">
        <f aca="true" t="shared" si="56" ref="R19:R26">C19-30</f>
        <v>8.600000000000001</v>
      </c>
      <c r="S19" s="10">
        <f>39-C19</f>
        <v>0.3999999999999986</v>
      </c>
      <c r="T19" s="10">
        <f t="shared" si="45"/>
        <v>11.399999999999999</v>
      </c>
      <c r="U19" s="10">
        <f t="shared" si="46"/>
        <v>20.4</v>
      </c>
      <c r="V19" s="10">
        <f t="shared" si="47"/>
        <v>30.4</v>
      </c>
      <c r="W19" s="10">
        <f t="shared" si="48"/>
        <v>38.4</v>
      </c>
      <c r="X19" s="10">
        <f t="shared" si="49"/>
        <v>54.4</v>
      </c>
      <c r="Y19" s="10">
        <f t="shared" si="50"/>
        <v>59.4</v>
      </c>
      <c r="Z19" s="10">
        <f t="shared" si="51"/>
        <v>60.4</v>
      </c>
      <c r="AA19" s="11">
        <f t="shared" si="19"/>
        <v>38.6</v>
      </c>
      <c r="AB19" s="12">
        <f t="shared" si="20"/>
        <v>45.6</v>
      </c>
      <c r="AC19" s="10">
        <f t="shared" si="54"/>
        <v>19.6</v>
      </c>
      <c r="AD19" s="10">
        <f t="shared" si="52"/>
        <v>69.6</v>
      </c>
      <c r="AE19" s="10">
        <f t="shared" si="23"/>
        <v>79.6</v>
      </c>
      <c r="AF19" s="10">
        <f t="shared" si="24"/>
        <v>88.6</v>
      </c>
      <c r="AG19" s="10">
        <f t="shared" si="25"/>
        <v>94.6</v>
      </c>
      <c r="AH19" s="10">
        <f t="shared" si="26"/>
        <v>104.6</v>
      </c>
      <c r="AI19" s="10">
        <f t="shared" si="27"/>
        <v>106.6</v>
      </c>
      <c r="AJ19" s="10">
        <f t="shared" si="28"/>
        <v>112.6</v>
      </c>
      <c r="AK19" s="13">
        <f t="shared" si="29"/>
        <v>122.6</v>
      </c>
      <c r="AL19" s="43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</row>
    <row r="20" spans="1:70" s="17" customFormat="1" ht="12.75">
      <c r="A20" s="85"/>
      <c r="B20" s="58" t="s">
        <v>12</v>
      </c>
      <c r="C20" s="11">
        <v>49.7</v>
      </c>
      <c r="D20" s="10">
        <f t="shared" si="34"/>
        <v>142.7</v>
      </c>
      <c r="E20" s="10">
        <f t="shared" si="35"/>
        <v>131.7</v>
      </c>
      <c r="F20" s="10">
        <f t="shared" si="36"/>
        <v>119.7</v>
      </c>
      <c r="G20" s="10">
        <f t="shared" si="37"/>
        <v>103.7</v>
      </c>
      <c r="H20" s="10">
        <f t="shared" si="38"/>
        <v>95.7</v>
      </c>
      <c r="I20" s="10">
        <f t="shared" si="39"/>
        <v>93.7</v>
      </c>
      <c r="J20" s="10">
        <f t="shared" si="40"/>
        <v>79.7</v>
      </c>
      <c r="K20" s="10">
        <f t="shared" si="41"/>
        <v>65.7</v>
      </c>
      <c r="L20" s="10">
        <f t="shared" si="42"/>
        <v>57.7</v>
      </c>
      <c r="M20" s="10">
        <f t="shared" si="43"/>
        <v>55.7</v>
      </c>
      <c r="N20" s="11">
        <f t="shared" si="6"/>
        <v>49.7</v>
      </c>
      <c r="O20" s="10">
        <f t="shared" si="44"/>
        <v>42.7</v>
      </c>
      <c r="P20" s="10">
        <f t="shared" si="53"/>
        <v>33.7</v>
      </c>
      <c r="Q20" s="10">
        <f t="shared" si="55"/>
        <v>26.700000000000003</v>
      </c>
      <c r="R20" s="10">
        <f t="shared" si="56"/>
        <v>19.700000000000003</v>
      </c>
      <c r="S20" s="10">
        <f aca="true" t="shared" si="57" ref="S20:S26">C20-39</f>
        <v>10.700000000000003</v>
      </c>
      <c r="T20" s="10">
        <f t="shared" si="45"/>
        <v>0.29999999999999716</v>
      </c>
      <c r="U20" s="10">
        <f t="shared" si="46"/>
        <v>9.299999999999997</v>
      </c>
      <c r="V20" s="10">
        <f t="shared" si="47"/>
        <v>19.299999999999997</v>
      </c>
      <c r="W20" s="10">
        <f t="shared" si="48"/>
        <v>27.299999999999997</v>
      </c>
      <c r="X20" s="10">
        <f t="shared" si="49"/>
        <v>43.3</v>
      </c>
      <c r="Y20" s="10">
        <f t="shared" si="50"/>
        <v>48.3</v>
      </c>
      <c r="Z20" s="10">
        <f t="shared" si="51"/>
        <v>49.3</v>
      </c>
      <c r="AA20" s="11">
        <f t="shared" si="19"/>
        <v>49.7</v>
      </c>
      <c r="AB20" s="12">
        <f t="shared" si="20"/>
        <v>56.7</v>
      </c>
      <c r="AC20" s="10">
        <f t="shared" si="54"/>
        <v>30.700000000000003</v>
      </c>
      <c r="AD20" s="10">
        <f t="shared" si="52"/>
        <v>80.7</v>
      </c>
      <c r="AE20" s="10">
        <f t="shared" si="23"/>
        <v>90.7</v>
      </c>
      <c r="AF20" s="10">
        <f t="shared" si="24"/>
        <v>99.7</v>
      </c>
      <c r="AG20" s="10">
        <f t="shared" si="25"/>
        <v>105.7</v>
      </c>
      <c r="AH20" s="10">
        <f t="shared" si="26"/>
        <v>115.7</v>
      </c>
      <c r="AI20" s="10">
        <f t="shared" si="27"/>
        <v>117.7</v>
      </c>
      <c r="AJ20" s="10">
        <f t="shared" si="28"/>
        <v>123.7</v>
      </c>
      <c r="AK20" s="13">
        <f t="shared" si="29"/>
        <v>133.7</v>
      </c>
      <c r="AL20" s="43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</row>
    <row r="21" spans="1:70" s="17" customFormat="1" ht="12.75">
      <c r="A21" s="85"/>
      <c r="B21" s="58" t="s">
        <v>13</v>
      </c>
      <c r="C21" s="11">
        <v>58.6</v>
      </c>
      <c r="D21" s="10">
        <f t="shared" si="34"/>
        <v>151.6</v>
      </c>
      <c r="E21" s="10">
        <f t="shared" si="35"/>
        <v>140.6</v>
      </c>
      <c r="F21" s="10">
        <f t="shared" si="36"/>
        <v>128.6</v>
      </c>
      <c r="G21" s="10">
        <f t="shared" si="37"/>
        <v>112.6</v>
      </c>
      <c r="H21" s="10">
        <f t="shared" si="38"/>
        <v>104.6</v>
      </c>
      <c r="I21" s="10">
        <f t="shared" si="39"/>
        <v>102.6</v>
      </c>
      <c r="J21" s="10">
        <f t="shared" si="40"/>
        <v>88.6</v>
      </c>
      <c r="K21" s="10">
        <f t="shared" si="41"/>
        <v>74.6</v>
      </c>
      <c r="L21" s="10">
        <f t="shared" si="42"/>
        <v>66.6</v>
      </c>
      <c r="M21" s="10">
        <f t="shared" si="43"/>
        <v>64.6</v>
      </c>
      <c r="N21" s="11">
        <f t="shared" si="6"/>
        <v>58.6</v>
      </c>
      <c r="O21" s="10">
        <f t="shared" si="44"/>
        <v>51.6</v>
      </c>
      <c r="P21" s="10">
        <f t="shared" si="53"/>
        <v>42.6</v>
      </c>
      <c r="Q21" s="10">
        <f t="shared" si="55"/>
        <v>35.6</v>
      </c>
      <c r="R21" s="10">
        <f t="shared" si="56"/>
        <v>28.6</v>
      </c>
      <c r="S21" s="10">
        <f t="shared" si="57"/>
        <v>19.6</v>
      </c>
      <c r="T21" s="10">
        <f aca="true" t="shared" si="58" ref="T21:T26">C21-50</f>
        <v>8.600000000000001</v>
      </c>
      <c r="U21" s="10">
        <f t="shared" si="46"/>
        <v>0.3999999999999986</v>
      </c>
      <c r="V21" s="10">
        <f t="shared" si="47"/>
        <v>10.399999999999999</v>
      </c>
      <c r="W21" s="10">
        <f t="shared" si="48"/>
        <v>18.4</v>
      </c>
      <c r="X21" s="10">
        <f t="shared" si="49"/>
        <v>34.4</v>
      </c>
      <c r="Y21" s="10">
        <f t="shared" si="50"/>
        <v>39.4</v>
      </c>
      <c r="Z21" s="10">
        <f t="shared" si="51"/>
        <v>40.4</v>
      </c>
      <c r="AA21" s="11">
        <f t="shared" si="19"/>
        <v>58.6</v>
      </c>
      <c r="AB21" s="12">
        <f t="shared" si="20"/>
        <v>65.6</v>
      </c>
      <c r="AC21" s="10">
        <f t="shared" si="54"/>
        <v>39.6</v>
      </c>
      <c r="AD21" s="10">
        <f t="shared" si="52"/>
        <v>89.6</v>
      </c>
      <c r="AE21" s="10">
        <f t="shared" si="23"/>
        <v>99.6</v>
      </c>
      <c r="AF21" s="10">
        <f t="shared" si="24"/>
        <v>108.6</v>
      </c>
      <c r="AG21" s="10">
        <f t="shared" si="25"/>
        <v>114.6</v>
      </c>
      <c r="AH21" s="10">
        <f t="shared" si="26"/>
        <v>124.6</v>
      </c>
      <c r="AI21" s="10">
        <f t="shared" si="27"/>
        <v>126.6</v>
      </c>
      <c r="AJ21" s="10">
        <f t="shared" si="28"/>
        <v>132.6</v>
      </c>
      <c r="AK21" s="13">
        <f t="shared" si="29"/>
        <v>142.6</v>
      </c>
      <c r="AL21" s="43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</row>
    <row r="22" spans="1:70" s="17" customFormat="1" ht="12.75">
      <c r="A22" s="85"/>
      <c r="B22" s="58" t="s">
        <v>14</v>
      </c>
      <c r="C22" s="11">
        <v>68.6</v>
      </c>
      <c r="D22" s="10">
        <f t="shared" si="34"/>
        <v>161.6</v>
      </c>
      <c r="E22" s="10">
        <f t="shared" si="35"/>
        <v>150.6</v>
      </c>
      <c r="F22" s="10">
        <f t="shared" si="36"/>
        <v>138.6</v>
      </c>
      <c r="G22" s="10">
        <f t="shared" si="37"/>
        <v>122.6</v>
      </c>
      <c r="H22" s="10">
        <f t="shared" si="38"/>
        <v>114.6</v>
      </c>
      <c r="I22" s="10">
        <f t="shared" si="39"/>
        <v>112.6</v>
      </c>
      <c r="J22" s="10">
        <f t="shared" si="40"/>
        <v>98.6</v>
      </c>
      <c r="K22" s="10">
        <f t="shared" si="41"/>
        <v>84.6</v>
      </c>
      <c r="L22" s="10">
        <f t="shared" si="42"/>
        <v>76.6</v>
      </c>
      <c r="M22" s="10">
        <f t="shared" si="43"/>
        <v>74.6</v>
      </c>
      <c r="N22" s="11">
        <f t="shared" si="6"/>
        <v>68.6</v>
      </c>
      <c r="O22" s="10">
        <f t="shared" si="44"/>
        <v>61.599999999999994</v>
      </c>
      <c r="P22" s="10">
        <f t="shared" si="53"/>
        <v>52.599999999999994</v>
      </c>
      <c r="Q22" s="10">
        <f t="shared" si="55"/>
        <v>45.599999999999994</v>
      </c>
      <c r="R22" s="10">
        <f t="shared" si="56"/>
        <v>38.599999999999994</v>
      </c>
      <c r="S22" s="10">
        <f t="shared" si="57"/>
        <v>29.599999999999994</v>
      </c>
      <c r="T22" s="10">
        <f t="shared" si="58"/>
        <v>18.599999999999994</v>
      </c>
      <c r="U22" s="10">
        <f>C22-59</f>
        <v>9.599999999999994</v>
      </c>
      <c r="V22" s="10">
        <f t="shared" si="47"/>
        <v>0.4000000000000057</v>
      </c>
      <c r="W22" s="10">
        <f t="shared" si="48"/>
        <v>8.400000000000006</v>
      </c>
      <c r="X22" s="10">
        <f t="shared" si="49"/>
        <v>24.400000000000006</v>
      </c>
      <c r="Y22" s="10">
        <f t="shared" si="50"/>
        <v>29.400000000000006</v>
      </c>
      <c r="Z22" s="10">
        <f t="shared" si="51"/>
        <v>30.400000000000006</v>
      </c>
      <c r="AA22" s="11">
        <f t="shared" si="19"/>
        <v>68.6</v>
      </c>
      <c r="AB22" s="12">
        <f t="shared" si="20"/>
        <v>75.6</v>
      </c>
      <c r="AC22" s="10">
        <f t="shared" si="54"/>
        <v>49.599999999999994</v>
      </c>
      <c r="AD22" s="10">
        <f t="shared" si="52"/>
        <v>99.6</v>
      </c>
      <c r="AE22" s="10">
        <f t="shared" si="23"/>
        <v>109.6</v>
      </c>
      <c r="AF22" s="10">
        <f t="shared" si="24"/>
        <v>118.6</v>
      </c>
      <c r="AG22" s="10">
        <f t="shared" si="25"/>
        <v>124.6</v>
      </c>
      <c r="AH22" s="10">
        <f t="shared" si="26"/>
        <v>134.6</v>
      </c>
      <c r="AI22" s="10">
        <f t="shared" si="27"/>
        <v>136.6</v>
      </c>
      <c r="AJ22" s="10">
        <f t="shared" si="28"/>
        <v>142.6</v>
      </c>
      <c r="AK22" s="13">
        <f t="shared" si="29"/>
        <v>152.6</v>
      </c>
      <c r="AL22" s="43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</row>
    <row r="23" spans="1:70" s="17" customFormat="1" ht="12.75">
      <c r="A23" s="85"/>
      <c r="B23" s="58" t="s">
        <v>15</v>
      </c>
      <c r="C23" s="11">
        <v>77.1</v>
      </c>
      <c r="D23" s="10">
        <f t="shared" si="34"/>
        <v>170.1</v>
      </c>
      <c r="E23" s="10">
        <f t="shared" si="35"/>
        <v>159.1</v>
      </c>
      <c r="F23" s="10">
        <f t="shared" si="36"/>
        <v>147.1</v>
      </c>
      <c r="G23" s="10">
        <f t="shared" si="37"/>
        <v>131.1</v>
      </c>
      <c r="H23" s="10">
        <f t="shared" si="38"/>
        <v>123.1</v>
      </c>
      <c r="I23" s="10">
        <f t="shared" si="39"/>
        <v>121.1</v>
      </c>
      <c r="J23" s="10">
        <f t="shared" si="40"/>
        <v>107.1</v>
      </c>
      <c r="K23" s="10">
        <f t="shared" si="41"/>
        <v>93.1</v>
      </c>
      <c r="L23" s="10">
        <f t="shared" si="42"/>
        <v>85.1</v>
      </c>
      <c r="M23" s="10">
        <f t="shared" si="43"/>
        <v>83.1</v>
      </c>
      <c r="N23" s="11">
        <f t="shared" si="6"/>
        <v>77.1</v>
      </c>
      <c r="O23" s="10">
        <f t="shared" si="44"/>
        <v>70.1</v>
      </c>
      <c r="P23" s="10">
        <f t="shared" si="53"/>
        <v>61.099999999999994</v>
      </c>
      <c r="Q23" s="10">
        <f t="shared" si="55"/>
        <v>54.099999999999994</v>
      </c>
      <c r="R23" s="10">
        <f t="shared" si="56"/>
        <v>47.099999999999994</v>
      </c>
      <c r="S23" s="10">
        <f t="shared" si="57"/>
        <v>38.099999999999994</v>
      </c>
      <c r="T23" s="10">
        <f t="shared" si="58"/>
        <v>27.099999999999994</v>
      </c>
      <c r="U23" s="10">
        <f>C23-59</f>
        <v>18.099999999999994</v>
      </c>
      <c r="V23" s="10">
        <f>C23-69</f>
        <v>8.099999999999994</v>
      </c>
      <c r="W23" s="10">
        <f t="shared" si="48"/>
        <v>-0.09999999999999432</v>
      </c>
      <c r="X23" s="10">
        <f t="shared" si="49"/>
        <v>15.900000000000006</v>
      </c>
      <c r="Y23" s="10">
        <f t="shared" si="50"/>
        <v>20.900000000000006</v>
      </c>
      <c r="Z23" s="10">
        <f t="shared" si="51"/>
        <v>21.900000000000006</v>
      </c>
      <c r="AA23" s="11">
        <f t="shared" si="19"/>
        <v>77.1</v>
      </c>
      <c r="AB23" s="12">
        <f t="shared" si="20"/>
        <v>84.1</v>
      </c>
      <c r="AC23" s="10">
        <f t="shared" si="54"/>
        <v>58.099999999999994</v>
      </c>
      <c r="AD23" s="10">
        <f t="shared" si="52"/>
        <v>108.1</v>
      </c>
      <c r="AE23" s="10">
        <f t="shared" si="23"/>
        <v>118.1</v>
      </c>
      <c r="AF23" s="10">
        <f t="shared" si="24"/>
        <v>127.1</v>
      </c>
      <c r="AG23" s="10">
        <f t="shared" si="25"/>
        <v>133.1</v>
      </c>
      <c r="AH23" s="10">
        <f t="shared" si="26"/>
        <v>143.1</v>
      </c>
      <c r="AI23" s="10">
        <f t="shared" si="27"/>
        <v>145.1</v>
      </c>
      <c r="AJ23" s="10">
        <f t="shared" si="28"/>
        <v>151.1</v>
      </c>
      <c r="AK23" s="13">
        <f t="shared" si="29"/>
        <v>161.1</v>
      </c>
      <c r="AL23" s="43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</row>
    <row r="24" spans="1:70" s="17" customFormat="1" ht="12.75">
      <c r="A24" s="85"/>
      <c r="B24" s="58" t="s">
        <v>16</v>
      </c>
      <c r="C24" s="11">
        <v>92.6</v>
      </c>
      <c r="D24" s="10">
        <f t="shared" si="34"/>
        <v>185.6</v>
      </c>
      <c r="E24" s="10">
        <f t="shared" si="35"/>
        <v>174.6</v>
      </c>
      <c r="F24" s="10">
        <f t="shared" si="36"/>
        <v>162.6</v>
      </c>
      <c r="G24" s="10">
        <f t="shared" si="37"/>
        <v>146.6</v>
      </c>
      <c r="H24" s="10">
        <f t="shared" si="38"/>
        <v>138.6</v>
      </c>
      <c r="I24" s="10">
        <f t="shared" si="39"/>
        <v>136.6</v>
      </c>
      <c r="J24" s="10">
        <f t="shared" si="40"/>
        <v>122.6</v>
      </c>
      <c r="K24" s="10">
        <f t="shared" si="41"/>
        <v>108.6</v>
      </c>
      <c r="L24" s="10">
        <f t="shared" si="42"/>
        <v>100.6</v>
      </c>
      <c r="M24" s="10">
        <f t="shared" si="43"/>
        <v>98.6</v>
      </c>
      <c r="N24" s="11">
        <f t="shared" si="6"/>
        <v>92.6</v>
      </c>
      <c r="O24" s="10">
        <f t="shared" si="44"/>
        <v>85.6</v>
      </c>
      <c r="P24" s="10">
        <f t="shared" si="53"/>
        <v>76.6</v>
      </c>
      <c r="Q24" s="10">
        <f t="shared" si="55"/>
        <v>69.6</v>
      </c>
      <c r="R24" s="10">
        <f t="shared" si="56"/>
        <v>62.599999999999994</v>
      </c>
      <c r="S24" s="10">
        <f t="shared" si="57"/>
        <v>53.599999999999994</v>
      </c>
      <c r="T24" s="10">
        <f t="shared" si="58"/>
        <v>42.599999999999994</v>
      </c>
      <c r="U24" s="10">
        <f>C24-59</f>
        <v>33.599999999999994</v>
      </c>
      <c r="V24" s="10">
        <f>C24-69</f>
        <v>23.599999999999994</v>
      </c>
      <c r="W24" s="10">
        <f>C24-77</f>
        <v>15.599999999999994</v>
      </c>
      <c r="X24" s="10">
        <f t="shared" si="49"/>
        <v>0.4000000000000057</v>
      </c>
      <c r="Y24" s="10">
        <f t="shared" si="50"/>
        <v>5.400000000000006</v>
      </c>
      <c r="Z24" s="10">
        <f t="shared" si="51"/>
        <v>6.400000000000006</v>
      </c>
      <c r="AA24" s="11">
        <f t="shared" si="19"/>
        <v>92.6</v>
      </c>
      <c r="AB24" s="12">
        <f t="shared" si="20"/>
        <v>99.6</v>
      </c>
      <c r="AC24" s="10">
        <f t="shared" si="54"/>
        <v>73.6</v>
      </c>
      <c r="AD24" s="10">
        <f t="shared" si="52"/>
        <v>123.6</v>
      </c>
      <c r="AE24" s="10">
        <f t="shared" si="23"/>
        <v>133.6</v>
      </c>
      <c r="AF24" s="10">
        <f t="shared" si="24"/>
        <v>142.6</v>
      </c>
      <c r="AG24" s="10">
        <f t="shared" si="25"/>
        <v>148.6</v>
      </c>
      <c r="AH24" s="10">
        <f t="shared" si="26"/>
        <v>158.6</v>
      </c>
      <c r="AI24" s="10">
        <f t="shared" si="27"/>
        <v>160.6</v>
      </c>
      <c r="AJ24" s="10">
        <f t="shared" si="28"/>
        <v>166.6</v>
      </c>
      <c r="AK24" s="13">
        <f t="shared" si="29"/>
        <v>176.6</v>
      </c>
      <c r="AL24" s="43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</row>
    <row r="25" spans="1:70" s="17" customFormat="1" ht="12.75">
      <c r="A25" s="87"/>
      <c r="B25" s="58" t="s">
        <v>17</v>
      </c>
      <c r="C25" s="11">
        <v>98.2</v>
      </c>
      <c r="D25" s="10">
        <f t="shared" si="34"/>
        <v>191.2</v>
      </c>
      <c r="E25" s="10">
        <f t="shared" si="35"/>
        <v>180.2</v>
      </c>
      <c r="F25" s="10">
        <f t="shared" si="36"/>
        <v>168.2</v>
      </c>
      <c r="G25" s="10">
        <f t="shared" si="37"/>
        <v>152.2</v>
      </c>
      <c r="H25" s="10">
        <f t="shared" si="38"/>
        <v>144.2</v>
      </c>
      <c r="I25" s="10">
        <f t="shared" si="39"/>
        <v>142.2</v>
      </c>
      <c r="J25" s="10">
        <f t="shared" si="40"/>
        <v>128.2</v>
      </c>
      <c r="K25" s="10">
        <f t="shared" si="41"/>
        <v>114.2</v>
      </c>
      <c r="L25" s="10">
        <f t="shared" si="42"/>
        <v>106.2</v>
      </c>
      <c r="M25" s="10">
        <f t="shared" si="43"/>
        <v>104.2</v>
      </c>
      <c r="N25" s="11">
        <f t="shared" si="6"/>
        <v>98.2</v>
      </c>
      <c r="O25" s="10">
        <f t="shared" si="44"/>
        <v>91.2</v>
      </c>
      <c r="P25" s="10">
        <f t="shared" si="53"/>
        <v>82.2</v>
      </c>
      <c r="Q25" s="10">
        <f t="shared" si="55"/>
        <v>75.2</v>
      </c>
      <c r="R25" s="10">
        <f t="shared" si="56"/>
        <v>68.2</v>
      </c>
      <c r="S25" s="10">
        <f t="shared" si="57"/>
        <v>59.2</v>
      </c>
      <c r="T25" s="10">
        <f t="shared" si="58"/>
        <v>48.2</v>
      </c>
      <c r="U25" s="10">
        <f>C25-59</f>
        <v>39.2</v>
      </c>
      <c r="V25" s="10">
        <f>C25-69</f>
        <v>29.200000000000003</v>
      </c>
      <c r="W25" s="10">
        <f>C25-77</f>
        <v>21.200000000000003</v>
      </c>
      <c r="X25" s="10">
        <f>C25-93</f>
        <v>5.200000000000003</v>
      </c>
      <c r="Y25" s="10">
        <f t="shared" si="50"/>
        <v>-0.20000000000000284</v>
      </c>
      <c r="Z25" s="10">
        <f t="shared" si="51"/>
        <v>0.7999999999999972</v>
      </c>
      <c r="AA25" s="11">
        <f t="shared" si="19"/>
        <v>98.2</v>
      </c>
      <c r="AB25" s="12">
        <f t="shared" si="20"/>
        <v>105.2</v>
      </c>
      <c r="AC25" s="10">
        <f t="shared" si="54"/>
        <v>79.2</v>
      </c>
      <c r="AD25" s="10">
        <f t="shared" si="52"/>
        <v>129.2</v>
      </c>
      <c r="AE25" s="10">
        <f t="shared" si="23"/>
        <v>139.2</v>
      </c>
      <c r="AF25" s="10">
        <f t="shared" si="24"/>
        <v>148.2</v>
      </c>
      <c r="AG25" s="10">
        <f t="shared" si="25"/>
        <v>154.2</v>
      </c>
      <c r="AH25" s="10">
        <f t="shared" si="26"/>
        <v>164.2</v>
      </c>
      <c r="AI25" s="10">
        <f t="shared" si="27"/>
        <v>166.2</v>
      </c>
      <c r="AJ25" s="10">
        <f t="shared" si="28"/>
        <v>172.2</v>
      </c>
      <c r="AK25" s="13">
        <f t="shared" si="29"/>
        <v>182.2</v>
      </c>
      <c r="AL25" s="43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</row>
    <row r="26" spans="1:70" s="17" customFormat="1" ht="12.75">
      <c r="A26" s="88"/>
      <c r="B26" s="58" t="s">
        <v>18</v>
      </c>
      <c r="C26" s="11">
        <v>99</v>
      </c>
      <c r="D26" s="10">
        <f t="shared" si="34"/>
        <v>192</v>
      </c>
      <c r="E26" s="10">
        <f t="shared" si="35"/>
        <v>181</v>
      </c>
      <c r="F26" s="10">
        <f t="shared" si="36"/>
        <v>169</v>
      </c>
      <c r="G26" s="10">
        <f t="shared" si="37"/>
        <v>153</v>
      </c>
      <c r="H26" s="10">
        <f t="shared" si="38"/>
        <v>145</v>
      </c>
      <c r="I26" s="10">
        <f t="shared" si="39"/>
        <v>143</v>
      </c>
      <c r="J26" s="10">
        <f t="shared" si="40"/>
        <v>129</v>
      </c>
      <c r="K26" s="10">
        <f t="shared" si="41"/>
        <v>115</v>
      </c>
      <c r="L26" s="10">
        <f t="shared" si="42"/>
        <v>107</v>
      </c>
      <c r="M26" s="10">
        <f t="shared" si="43"/>
        <v>105</v>
      </c>
      <c r="N26" s="11">
        <f t="shared" si="6"/>
        <v>99</v>
      </c>
      <c r="O26" s="10">
        <f t="shared" si="44"/>
        <v>92</v>
      </c>
      <c r="P26" s="10">
        <f t="shared" si="53"/>
        <v>83</v>
      </c>
      <c r="Q26" s="10">
        <f t="shared" si="55"/>
        <v>76</v>
      </c>
      <c r="R26" s="10">
        <f t="shared" si="56"/>
        <v>69</v>
      </c>
      <c r="S26" s="10">
        <f t="shared" si="57"/>
        <v>60</v>
      </c>
      <c r="T26" s="10">
        <f t="shared" si="58"/>
        <v>49</v>
      </c>
      <c r="U26" s="10">
        <f>C26-59</f>
        <v>40</v>
      </c>
      <c r="V26" s="10">
        <f>C26-69</f>
        <v>30</v>
      </c>
      <c r="W26" s="10">
        <f>C26-77</f>
        <v>22</v>
      </c>
      <c r="X26" s="10">
        <f>C26-93</f>
        <v>6</v>
      </c>
      <c r="Y26" s="10">
        <v>3</v>
      </c>
      <c r="Z26" s="10">
        <f t="shared" si="51"/>
        <v>0</v>
      </c>
      <c r="AA26" s="11">
        <f t="shared" si="19"/>
        <v>99</v>
      </c>
      <c r="AB26" s="12">
        <f t="shared" si="20"/>
        <v>106</v>
      </c>
      <c r="AC26" s="10">
        <f t="shared" si="54"/>
        <v>80</v>
      </c>
      <c r="AD26" s="10">
        <f t="shared" si="52"/>
        <v>130</v>
      </c>
      <c r="AE26" s="10">
        <f t="shared" si="23"/>
        <v>140</v>
      </c>
      <c r="AF26" s="10">
        <f t="shared" si="24"/>
        <v>149</v>
      </c>
      <c r="AG26" s="10">
        <f t="shared" si="25"/>
        <v>155</v>
      </c>
      <c r="AH26" s="10">
        <f t="shared" si="26"/>
        <v>165</v>
      </c>
      <c r="AI26" s="10">
        <f t="shared" si="27"/>
        <v>167</v>
      </c>
      <c r="AJ26" s="10">
        <f t="shared" si="28"/>
        <v>173</v>
      </c>
      <c r="AK26" s="13">
        <f t="shared" si="29"/>
        <v>183</v>
      </c>
      <c r="AL26" s="43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</row>
    <row r="27" spans="1:70" s="9" customFormat="1" ht="12.75">
      <c r="A27" s="79"/>
      <c r="B27" s="3" t="s">
        <v>43</v>
      </c>
      <c r="C27" s="5">
        <v>0</v>
      </c>
      <c r="D27" s="4">
        <f t="shared" si="34"/>
        <v>93</v>
      </c>
      <c r="E27" s="4">
        <f t="shared" si="35"/>
        <v>82</v>
      </c>
      <c r="F27" s="4">
        <f t="shared" si="36"/>
        <v>70</v>
      </c>
      <c r="G27" s="4">
        <f t="shared" si="37"/>
        <v>54</v>
      </c>
      <c r="H27" s="4">
        <f t="shared" si="38"/>
        <v>46</v>
      </c>
      <c r="I27" s="4">
        <f t="shared" si="39"/>
        <v>44</v>
      </c>
      <c r="J27" s="4">
        <f t="shared" si="40"/>
        <v>30</v>
      </c>
      <c r="K27" s="4">
        <f t="shared" si="41"/>
        <v>16</v>
      </c>
      <c r="L27" s="4">
        <f t="shared" si="42"/>
        <v>8</v>
      </c>
      <c r="M27" s="4">
        <f t="shared" si="43"/>
        <v>6</v>
      </c>
      <c r="N27" s="5">
        <f t="shared" si="6"/>
        <v>0</v>
      </c>
      <c r="O27" s="4">
        <f aca="true" t="shared" si="59" ref="O27:O37">C27+7</f>
        <v>7</v>
      </c>
      <c r="P27" s="4">
        <f aca="true" t="shared" si="60" ref="P27:P37">C27+16</f>
        <v>16</v>
      </c>
      <c r="Q27" s="4">
        <f aca="true" t="shared" si="61" ref="Q27:Q37">C27+23</f>
        <v>23</v>
      </c>
      <c r="R27" s="4">
        <f aca="true" t="shared" si="62" ref="R27:R37">C27+30</f>
        <v>30</v>
      </c>
      <c r="S27" s="4">
        <f>39-C27</f>
        <v>39</v>
      </c>
      <c r="T27" s="4">
        <f>50-C27</f>
        <v>50</v>
      </c>
      <c r="U27" s="4">
        <f>59-C27</f>
        <v>59</v>
      </c>
      <c r="V27" s="4">
        <f>69-C27</f>
        <v>69</v>
      </c>
      <c r="W27" s="4">
        <f>77-C27</f>
        <v>77</v>
      </c>
      <c r="X27" s="4">
        <f>93-C27</f>
        <v>93</v>
      </c>
      <c r="Y27" s="4">
        <f>98-C27</f>
        <v>98</v>
      </c>
      <c r="Z27" s="4">
        <f t="shared" si="51"/>
        <v>99</v>
      </c>
      <c r="AA27" s="5">
        <f t="shared" si="19"/>
        <v>0</v>
      </c>
      <c r="AB27" s="6">
        <f t="shared" si="20"/>
        <v>7</v>
      </c>
      <c r="AC27" s="4">
        <f>19-C27</f>
        <v>19</v>
      </c>
      <c r="AD27" s="4">
        <f t="shared" si="52"/>
        <v>31</v>
      </c>
      <c r="AE27" s="4">
        <f t="shared" si="23"/>
        <v>41</v>
      </c>
      <c r="AF27" s="4">
        <f t="shared" si="24"/>
        <v>50</v>
      </c>
      <c r="AG27" s="4">
        <f t="shared" si="25"/>
        <v>56</v>
      </c>
      <c r="AH27" s="4">
        <f t="shared" si="26"/>
        <v>66</v>
      </c>
      <c r="AI27" s="4">
        <f aca="true" t="shared" si="63" ref="AI27:AI35">68-C27</f>
        <v>68</v>
      </c>
      <c r="AJ27" s="4">
        <f t="shared" si="28"/>
        <v>74</v>
      </c>
      <c r="AK27" s="7">
        <f t="shared" si="29"/>
        <v>84</v>
      </c>
      <c r="AL27" s="44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</row>
    <row r="28" spans="1:70" s="24" customFormat="1" ht="12.75" customHeight="1">
      <c r="A28" s="84" t="s">
        <v>2</v>
      </c>
      <c r="B28" s="59" t="s">
        <v>19</v>
      </c>
      <c r="C28" s="20">
        <v>7</v>
      </c>
      <c r="D28" s="19">
        <f t="shared" si="34"/>
        <v>100</v>
      </c>
      <c r="E28" s="19">
        <f t="shared" si="35"/>
        <v>89</v>
      </c>
      <c r="F28" s="19">
        <f t="shared" si="36"/>
        <v>77</v>
      </c>
      <c r="G28" s="19">
        <f t="shared" si="37"/>
        <v>61</v>
      </c>
      <c r="H28" s="19">
        <f t="shared" si="38"/>
        <v>53</v>
      </c>
      <c r="I28" s="19">
        <f t="shared" si="39"/>
        <v>51</v>
      </c>
      <c r="J28" s="19">
        <f t="shared" si="40"/>
        <v>37</v>
      </c>
      <c r="K28" s="19">
        <f t="shared" si="41"/>
        <v>23</v>
      </c>
      <c r="L28" s="19">
        <f t="shared" si="42"/>
        <v>15</v>
      </c>
      <c r="M28" s="19">
        <f t="shared" si="43"/>
        <v>13</v>
      </c>
      <c r="N28" s="20">
        <f t="shared" si="6"/>
        <v>7</v>
      </c>
      <c r="O28" s="19">
        <f t="shared" si="59"/>
        <v>14</v>
      </c>
      <c r="P28" s="19">
        <f t="shared" si="60"/>
        <v>23</v>
      </c>
      <c r="Q28" s="19">
        <f t="shared" si="61"/>
        <v>30</v>
      </c>
      <c r="R28" s="19">
        <f t="shared" si="62"/>
        <v>37</v>
      </c>
      <c r="S28" s="19">
        <f aca="true" t="shared" si="64" ref="S28:S37">39+C28</f>
        <v>46</v>
      </c>
      <c r="T28" s="19">
        <f aca="true" t="shared" si="65" ref="T28:T37">50+C28</f>
        <v>57</v>
      </c>
      <c r="U28" s="19">
        <f aca="true" t="shared" si="66" ref="U28:U37">59+C28</f>
        <v>66</v>
      </c>
      <c r="V28" s="19">
        <f aca="true" t="shared" si="67" ref="V28:V37">69+C28</f>
        <v>76</v>
      </c>
      <c r="W28" s="19">
        <f aca="true" t="shared" si="68" ref="W28:W37">77+C28</f>
        <v>84</v>
      </c>
      <c r="X28" s="19">
        <f aca="true" t="shared" si="69" ref="X28:X37">93+C28</f>
        <v>100</v>
      </c>
      <c r="Y28" s="19">
        <f aca="true" t="shared" si="70" ref="Y28:Y37">98+C28</f>
        <v>105</v>
      </c>
      <c r="Z28" s="19">
        <f aca="true" t="shared" si="71" ref="Z28:Z37">99+C28</f>
        <v>106</v>
      </c>
      <c r="AA28" s="20">
        <f t="shared" si="19"/>
        <v>7</v>
      </c>
      <c r="AB28" s="21">
        <f>7-C28</f>
        <v>0</v>
      </c>
      <c r="AC28" s="19">
        <f>19-C28</f>
        <v>12</v>
      </c>
      <c r="AD28" s="19">
        <f>31-C28</f>
        <v>24</v>
      </c>
      <c r="AE28" s="19">
        <f>41-C28</f>
        <v>34</v>
      </c>
      <c r="AF28" s="19">
        <f>50-C28</f>
        <v>43</v>
      </c>
      <c r="AG28" s="19">
        <f>56-C28</f>
        <v>49</v>
      </c>
      <c r="AH28" s="19">
        <f aca="true" t="shared" si="72" ref="AH28:AH34">66-C28</f>
        <v>59</v>
      </c>
      <c r="AI28" s="19">
        <f t="shared" si="63"/>
        <v>61</v>
      </c>
      <c r="AJ28" s="19">
        <f aca="true" t="shared" si="73" ref="AJ28:AJ35">74-C28</f>
        <v>67</v>
      </c>
      <c r="AK28" s="22">
        <f aca="true" t="shared" si="74" ref="AK28:AK36">84-C28</f>
        <v>77</v>
      </c>
      <c r="AL28" s="45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</row>
    <row r="29" spans="1:70" s="17" customFormat="1" ht="12.75">
      <c r="A29" s="85"/>
      <c r="B29" s="58" t="s">
        <v>27</v>
      </c>
      <c r="C29" s="11">
        <v>19</v>
      </c>
      <c r="D29" s="10">
        <f t="shared" si="34"/>
        <v>112</v>
      </c>
      <c r="E29" s="10">
        <f t="shared" si="35"/>
        <v>101</v>
      </c>
      <c r="F29" s="10">
        <f t="shared" si="36"/>
        <v>89</v>
      </c>
      <c r="G29" s="10">
        <f t="shared" si="37"/>
        <v>73</v>
      </c>
      <c r="H29" s="10">
        <f t="shared" si="38"/>
        <v>65</v>
      </c>
      <c r="I29" s="10">
        <f t="shared" si="39"/>
        <v>63</v>
      </c>
      <c r="J29" s="10">
        <f t="shared" si="40"/>
        <v>49</v>
      </c>
      <c r="K29" s="10">
        <f t="shared" si="41"/>
        <v>35</v>
      </c>
      <c r="L29" s="10">
        <f t="shared" si="42"/>
        <v>27</v>
      </c>
      <c r="M29" s="10">
        <f t="shared" si="43"/>
        <v>25</v>
      </c>
      <c r="N29" s="11">
        <f t="shared" si="6"/>
        <v>19</v>
      </c>
      <c r="O29" s="10">
        <f t="shared" si="59"/>
        <v>26</v>
      </c>
      <c r="P29" s="10">
        <f t="shared" si="60"/>
        <v>35</v>
      </c>
      <c r="Q29" s="10">
        <f t="shared" si="61"/>
        <v>42</v>
      </c>
      <c r="R29" s="10">
        <f t="shared" si="62"/>
        <v>49</v>
      </c>
      <c r="S29" s="10">
        <f t="shared" si="64"/>
        <v>58</v>
      </c>
      <c r="T29" s="10">
        <f t="shared" si="65"/>
        <v>69</v>
      </c>
      <c r="U29" s="10">
        <f t="shared" si="66"/>
        <v>78</v>
      </c>
      <c r="V29" s="10">
        <f t="shared" si="67"/>
        <v>88</v>
      </c>
      <c r="W29" s="10">
        <f t="shared" si="68"/>
        <v>96</v>
      </c>
      <c r="X29" s="10">
        <f t="shared" si="69"/>
        <v>112</v>
      </c>
      <c r="Y29" s="10">
        <f t="shared" si="70"/>
        <v>117</v>
      </c>
      <c r="Z29" s="10">
        <f t="shared" si="71"/>
        <v>118</v>
      </c>
      <c r="AA29" s="11">
        <f t="shared" si="19"/>
        <v>19</v>
      </c>
      <c r="AB29" s="12">
        <f aca="true" t="shared" si="75" ref="AB29:AB37">C29-7</f>
        <v>12</v>
      </c>
      <c r="AC29" s="10">
        <f>19-C29</f>
        <v>0</v>
      </c>
      <c r="AD29" s="10">
        <f>31-C29</f>
        <v>12</v>
      </c>
      <c r="AE29" s="10">
        <f>41-C29</f>
        <v>22</v>
      </c>
      <c r="AF29" s="10">
        <f>50-C29</f>
        <v>31</v>
      </c>
      <c r="AG29" s="10">
        <f>56-C29</f>
        <v>37</v>
      </c>
      <c r="AH29" s="10">
        <f t="shared" si="72"/>
        <v>47</v>
      </c>
      <c r="AI29" s="10">
        <f t="shared" si="63"/>
        <v>49</v>
      </c>
      <c r="AJ29" s="10">
        <f t="shared" si="73"/>
        <v>55</v>
      </c>
      <c r="AK29" s="13">
        <f t="shared" si="74"/>
        <v>65</v>
      </c>
      <c r="AL29" s="43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</row>
    <row r="30" spans="1:70" s="17" customFormat="1" ht="12.75">
      <c r="A30" s="85"/>
      <c r="B30" s="58" t="s">
        <v>49</v>
      </c>
      <c r="C30" s="11">
        <v>31</v>
      </c>
      <c r="D30" s="10">
        <f t="shared" si="34"/>
        <v>124</v>
      </c>
      <c r="E30" s="10">
        <f t="shared" si="35"/>
        <v>113</v>
      </c>
      <c r="F30" s="10">
        <f t="shared" si="36"/>
        <v>101</v>
      </c>
      <c r="G30" s="10">
        <f t="shared" si="37"/>
        <v>85</v>
      </c>
      <c r="H30" s="10">
        <f t="shared" si="38"/>
        <v>77</v>
      </c>
      <c r="I30" s="10">
        <f t="shared" si="39"/>
        <v>75</v>
      </c>
      <c r="J30" s="10">
        <f t="shared" si="40"/>
        <v>61</v>
      </c>
      <c r="K30" s="10">
        <f t="shared" si="41"/>
        <v>47</v>
      </c>
      <c r="L30" s="10">
        <f t="shared" si="42"/>
        <v>39</v>
      </c>
      <c r="M30" s="10">
        <f t="shared" si="43"/>
        <v>37</v>
      </c>
      <c r="N30" s="11">
        <f t="shared" si="6"/>
        <v>31</v>
      </c>
      <c r="O30" s="10">
        <f t="shared" si="59"/>
        <v>38</v>
      </c>
      <c r="P30" s="10">
        <f t="shared" si="60"/>
        <v>47</v>
      </c>
      <c r="Q30" s="10">
        <f t="shared" si="61"/>
        <v>54</v>
      </c>
      <c r="R30" s="10">
        <f t="shared" si="62"/>
        <v>61</v>
      </c>
      <c r="S30" s="10">
        <f t="shared" si="64"/>
        <v>70</v>
      </c>
      <c r="T30" s="10">
        <f t="shared" si="65"/>
        <v>81</v>
      </c>
      <c r="U30" s="10">
        <f t="shared" si="66"/>
        <v>90</v>
      </c>
      <c r="V30" s="10">
        <f t="shared" si="67"/>
        <v>100</v>
      </c>
      <c r="W30" s="10">
        <f t="shared" si="68"/>
        <v>108</v>
      </c>
      <c r="X30" s="10">
        <f t="shared" si="69"/>
        <v>124</v>
      </c>
      <c r="Y30" s="10">
        <f t="shared" si="70"/>
        <v>129</v>
      </c>
      <c r="Z30" s="10">
        <f t="shared" si="71"/>
        <v>130</v>
      </c>
      <c r="AA30" s="11">
        <f t="shared" si="19"/>
        <v>31</v>
      </c>
      <c r="AB30" s="12">
        <f t="shared" si="75"/>
        <v>24</v>
      </c>
      <c r="AC30" s="10">
        <f aca="true" t="shared" si="76" ref="AC30:AC37">C30-19</f>
        <v>12</v>
      </c>
      <c r="AD30" s="10">
        <f>31-C30</f>
        <v>0</v>
      </c>
      <c r="AE30" s="10">
        <f>41-C30</f>
        <v>10</v>
      </c>
      <c r="AF30" s="10">
        <f>50-C30</f>
        <v>19</v>
      </c>
      <c r="AG30" s="10">
        <f>56-C30</f>
        <v>25</v>
      </c>
      <c r="AH30" s="10">
        <f t="shared" si="72"/>
        <v>35</v>
      </c>
      <c r="AI30" s="10">
        <f t="shared" si="63"/>
        <v>37</v>
      </c>
      <c r="AJ30" s="10">
        <f t="shared" si="73"/>
        <v>43</v>
      </c>
      <c r="AK30" s="13">
        <f t="shared" si="74"/>
        <v>53</v>
      </c>
      <c r="AL30" s="43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</row>
    <row r="31" spans="1:70" s="17" customFormat="1" ht="12.75">
      <c r="A31" s="85"/>
      <c r="B31" s="58" t="s">
        <v>20</v>
      </c>
      <c r="C31" s="11">
        <v>41.2</v>
      </c>
      <c r="D31" s="10">
        <f t="shared" si="34"/>
        <v>134.2</v>
      </c>
      <c r="E31" s="10">
        <f t="shared" si="35"/>
        <v>123.2</v>
      </c>
      <c r="F31" s="10">
        <f t="shared" si="36"/>
        <v>111.2</v>
      </c>
      <c r="G31" s="10">
        <f t="shared" si="37"/>
        <v>95.2</v>
      </c>
      <c r="H31" s="10">
        <f t="shared" si="38"/>
        <v>87.2</v>
      </c>
      <c r="I31" s="10">
        <f t="shared" si="39"/>
        <v>85.2</v>
      </c>
      <c r="J31" s="10">
        <f t="shared" si="40"/>
        <v>71.2</v>
      </c>
      <c r="K31" s="10">
        <f t="shared" si="41"/>
        <v>57.2</v>
      </c>
      <c r="L31" s="10">
        <f t="shared" si="42"/>
        <v>49.2</v>
      </c>
      <c r="M31" s="10">
        <f t="shared" si="43"/>
        <v>47.2</v>
      </c>
      <c r="N31" s="11">
        <f t="shared" si="6"/>
        <v>41.2</v>
      </c>
      <c r="O31" s="10">
        <f t="shared" si="59"/>
        <v>48.2</v>
      </c>
      <c r="P31" s="10">
        <f t="shared" si="60"/>
        <v>57.2</v>
      </c>
      <c r="Q31" s="10">
        <f t="shared" si="61"/>
        <v>64.2</v>
      </c>
      <c r="R31" s="10">
        <f t="shared" si="62"/>
        <v>71.2</v>
      </c>
      <c r="S31" s="10">
        <f t="shared" si="64"/>
        <v>80.2</v>
      </c>
      <c r="T31" s="10">
        <f t="shared" si="65"/>
        <v>91.2</v>
      </c>
      <c r="U31" s="10">
        <f t="shared" si="66"/>
        <v>100.2</v>
      </c>
      <c r="V31" s="10">
        <f t="shared" si="67"/>
        <v>110.2</v>
      </c>
      <c r="W31" s="10">
        <f t="shared" si="68"/>
        <v>118.2</v>
      </c>
      <c r="X31" s="10">
        <f t="shared" si="69"/>
        <v>134.2</v>
      </c>
      <c r="Y31" s="10">
        <f t="shared" si="70"/>
        <v>139.2</v>
      </c>
      <c r="Z31" s="10">
        <f t="shared" si="71"/>
        <v>140.2</v>
      </c>
      <c r="AA31" s="11">
        <f t="shared" si="19"/>
        <v>41.2</v>
      </c>
      <c r="AB31" s="12">
        <f t="shared" si="75"/>
        <v>34.2</v>
      </c>
      <c r="AC31" s="10">
        <f t="shared" si="76"/>
        <v>22.200000000000003</v>
      </c>
      <c r="AD31" s="10">
        <f aca="true" t="shared" si="77" ref="AD31:AD37">C31-31</f>
        <v>10.200000000000003</v>
      </c>
      <c r="AE31" s="10">
        <f>41-C31</f>
        <v>-0.20000000000000284</v>
      </c>
      <c r="AF31" s="10">
        <f>50-C31</f>
        <v>8.799999999999997</v>
      </c>
      <c r="AG31" s="10">
        <f>56-C31</f>
        <v>14.799999999999997</v>
      </c>
      <c r="AH31" s="10">
        <f t="shared" si="72"/>
        <v>24.799999999999997</v>
      </c>
      <c r="AI31" s="10">
        <f t="shared" si="63"/>
        <v>26.799999999999997</v>
      </c>
      <c r="AJ31" s="10">
        <f t="shared" si="73"/>
        <v>32.8</v>
      </c>
      <c r="AK31" s="13">
        <f t="shared" si="74"/>
        <v>42.8</v>
      </c>
      <c r="AL31" s="43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</row>
    <row r="32" spans="1:70" s="17" customFormat="1" ht="12.75">
      <c r="A32" s="85"/>
      <c r="B32" s="58" t="s">
        <v>28</v>
      </c>
      <c r="C32" s="11">
        <v>50.3</v>
      </c>
      <c r="D32" s="10">
        <f t="shared" si="34"/>
        <v>143.3</v>
      </c>
      <c r="E32" s="10">
        <f t="shared" si="35"/>
        <v>132.3</v>
      </c>
      <c r="F32" s="10">
        <f t="shared" si="36"/>
        <v>120.3</v>
      </c>
      <c r="G32" s="10">
        <f t="shared" si="37"/>
        <v>104.3</v>
      </c>
      <c r="H32" s="10">
        <f t="shared" si="38"/>
        <v>96.3</v>
      </c>
      <c r="I32" s="10">
        <f t="shared" si="39"/>
        <v>94.3</v>
      </c>
      <c r="J32" s="10">
        <f t="shared" si="40"/>
        <v>80.3</v>
      </c>
      <c r="K32" s="10">
        <f t="shared" si="41"/>
        <v>66.3</v>
      </c>
      <c r="L32" s="10">
        <f t="shared" si="42"/>
        <v>58.3</v>
      </c>
      <c r="M32" s="10">
        <f t="shared" si="43"/>
        <v>56.3</v>
      </c>
      <c r="N32" s="11">
        <f t="shared" si="6"/>
        <v>50.3</v>
      </c>
      <c r="O32" s="10">
        <f t="shared" si="59"/>
        <v>57.3</v>
      </c>
      <c r="P32" s="10">
        <f t="shared" si="60"/>
        <v>66.3</v>
      </c>
      <c r="Q32" s="10">
        <f t="shared" si="61"/>
        <v>73.3</v>
      </c>
      <c r="R32" s="10">
        <f t="shared" si="62"/>
        <v>80.3</v>
      </c>
      <c r="S32" s="10">
        <f t="shared" si="64"/>
        <v>89.3</v>
      </c>
      <c r="T32" s="10">
        <f t="shared" si="65"/>
        <v>100.3</v>
      </c>
      <c r="U32" s="10">
        <f t="shared" si="66"/>
        <v>109.3</v>
      </c>
      <c r="V32" s="10">
        <f t="shared" si="67"/>
        <v>119.3</v>
      </c>
      <c r="W32" s="10">
        <f t="shared" si="68"/>
        <v>127.3</v>
      </c>
      <c r="X32" s="10">
        <f t="shared" si="69"/>
        <v>143.3</v>
      </c>
      <c r="Y32" s="10">
        <f t="shared" si="70"/>
        <v>148.3</v>
      </c>
      <c r="Z32" s="10">
        <f t="shared" si="71"/>
        <v>149.3</v>
      </c>
      <c r="AA32" s="11">
        <f t="shared" si="19"/>
        <v>50.3</v>
      </c>
      <c r="AB32" s="12">
        <f t="shared" si="75"/>
        <v>43.3</v>
      </c>
      <c r="AC32" s="10">
        <f t="shared" si="76"/>
        <v>31.299999999999997</v>
      </c>
      <c r="AD32" s="10">
        <f t="shared" si="77"/>
        <v>19.299999999999997</v>
      </c>
      <c r="AE32" s="10">
        <f aca="true" t="shared" si="78" ref="AE32:AE37">C32-41</f>
        <v>9.299999999999997</v>
      </c>
      <c r="AF32" s="10">
        <f aca="true" t="shared" si="79" ref="AF32:AF37">C32-50</f>
        <v>0.29999999999999716</v>
      </c>
      <c r="AG32" s="10">
        <f>56-C32</f>
        <v>5.700000000000003</v>
      </c>
      <c r="AH32" s="10">
        <f t="shared" si="72"/>
        <v>15.700000000000003</v>
      </c>
      <c r="AI32" s="10">
        <f t="shared" si="63"/>
        <v>17.700000000000003</v>
      </c>
      <c r="AJ32" s="10">
        <f t="shared" si="73"/>
        <v>23.700000000000003</v>
      </c>
      <c r="AK32" s="13">
        <f t="shared" si="74"/>
        <v>33.7</v>
      </c>
      <c r="AL32" s="43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</row>
    <row r="33" spans="1:70" s="17" customFormat="1" ht="12.75">
      <c r="A33" s="85"/>
      <c r="B33" s="58" t="s">
        <v>29</v>
      </c>
      <c r="C33" s="11">
        <v>55.8</v>
      </c>
      <c r="D33" s="10">
        <f t="shared" si="34"/>
        <v>148.8</v>
      </c>
      <c r="E33" s="10">
        <f t="shared" si="35"/>
        <v>137.8</v>
      </c>
      <c r="F33" s="10">
        <f t="shared" si="36"/>
        <v>125.8</v>
      </c>
      <c r="G33" s="10">
        <f t="shared" si="37"/>
        <v>109.8</v>
      </c>
      <c r="H33" s="10">
        <f t="shared" si="38"/>
        <v>101.8</v>
      </c>
      <c r="I33" s="10">
        <f t="shared" si="39"/>
        <v>99.8</v>
      </c>
      <c r="J33" s="10">
        <f t="shared" si="40"/>
        <v>85.8</v>
      </c>
      <c r="K33" s="10">
        <f t="shared" si="41"/>
        <v>71.8</v>
      </c>
      <c r="L33" s="10">
        <f t="shared" si="42"/>
        <v>63.8</v>
      </c>
      <c r="M33" s="10">
        <f t="shared" si="43"/>
        <v>61.8</v>
      </c>
      <c r="N33" s="11">
        <f t="shared" si="6"/>
        <v>55.8</v>
      </c>
      <c r="O33" s="10">
        <f t="shared" si="59"/>
        <v>62.8</v>
      </c>
      <c r="P33" s="10">
        <f t="shared" si="60"/>
        <v>71.8</v>
      </c>
      <c r="Q33" s="10">
        <f t="shared" si="61"/>
        <v>78.8</v>
      </c>
      <c r="R33" s="10">
        <f t="shared" si="62"/>
        <v>85.8</v>
      </c>
      <c r="S33" s="10">
        <f t="shared" si="64"/>
        <v>94.8</v>
      </c>
      <c r="T33" s="10">
        <f t="shared" si="65"/>
        <v>105.8</v>
      </c>
      <c r="U33" s="10">
        <f t="shared" si="66"/>
        <v>114.8</v>
      </c>
      <c r="V33" s="10">
        <f t="shared" si="67"/>
        <v>124.8</v>
      </c>
      <c r="W33" s="10">
        <f t="shared" si="68"/>
        <v>132.8</v>
      </c>
      <c r="X33" s="10">
        <f t="shared" si="69"/>
        <v>148.8</v>
      </c>
      <c r="Y33" s="10">
        <f t="shared" si="70"/>
        <v>153.8</v>
      </c>
      <c r="Z33" s="10">
        <f t="shared" si="71"/>
        <v>154.8</v>
      </c>
      <c r="AA33" s="11">
        <f t="shared" si="19"/>
        <v>55.8</v>
      </c>
      <c r="AB33" s="12">
        <f t="shared" si="75"/>
        <v>48.8</v>
      </c>
      <c r="AC33" s="10">
        <f t="shared" si="76"/>
        <v>36.8</v>
      </c>
      <c r="AD33" s="10">
        <f t="shared" si="77"/>
        <v>24.799999999999997</v>
      </c>
      <c r="AE33" s="10">
        <f t="shared" si="78"/>
        <v>14.799999999999997</v>
      </c>
      <c r="AF33" s="10">
        <f t="shared" si="79"/>
        <v>5.799999999999997</v>
      </c>
      <c r="AG33" s="10">
        <f>C33-56</f>
        <v>-0.20000000000000284</v>
      </c>
      <c r="AH33" s="10">
        <f t="shared" si="72"/>
        <v>10.200000000000003</v>
      </c>
      <c r="AI33" s="10">
        <f t="shared" si="63"/>
        <v>12.200000000000003</v>
      </c>
      <c r="AJ33" s="10">
        <f t="shared" si="73"/>
        <v>18.200000000000003</v>
      </c>
      <c r="AK33" s="13">
        <f t="shared" si="74"/>
        <v>28.200000000000003</v>
      </c>
      <c r="AL33" s="43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</row>
    <row r="34" spans="1:70" s="17" customFormat="1" ht="12.75">
      <c r="A34" s="85"/>
      <c r="B34" s="58" t="s">
        <v>32</v>
      </c>
      <c r="C34" s="11">
        <v>66.3</v>
      </c>
      <c r="D34" s="10">
        <f t="shared" si="34"/>
        <v>159.3</v>
      </c>
      <c r="E34" s="10">
        <f t="shared" si="35"/>
        <v>148.3</v>
      </c>
      <c r="F34" s="10">
        <f t="shared" si="36"/>
        <v>136.3</v>
      </c>
      <c r="G34" s="10">
        <f t="shared" si="37"/>
        <v>120.3</v>
      </c>
      <c r="H34" s="10">
        <f t="shared" si="38"/>
        <v>112.3</v>
      </c>
      <c r="I34" s="10">
        <f t="shared" si="39"/>
        <v>110.3</v>
      </c>
      <c r="J34" s="10">
        <f t="shared" si="40"/>
        <v>96.3</v>
      </c>
      <c r="K34" s="10">
        <f t="shared" si="41"/>
        <v>82.3</v>
      </c>
      <c r="L34" s="10">
        <f t="shared" si="42"/>
        <v>74.3</v>
      </c>
      <c r="M34" s="10">
        <f t="shared" si="43"/>
        <v>72.3</v>
      </c>
      <c r="N34" s="11">
        <f t="shared" si="6"/>
        <v>66.3</v>
      </c>
      <c r="O34" s="10">
        <f t="shared" si="59"/>
        <v>73.3</v>
      </c>
      <c r="P34" s="10">
        <f t="shared" si="60"/>
        <v>82.3</v>
      </c>
      <c r="Q34" s="10">
        <f t="shared" si="61"/>
        <v>89.3</v>
      </c>
      <c r="R34" s="10">
        <f t="shared" si="62"/>
        <v>96.3</v>
      </c>
      <c r="S34" s="10">
        <f t="shared" si="64"/>
        <v>105.3</v>
      </c>
      <c r="T34" s="10">
        <f t="shared" si="65"/>
        <v>116.3</v>
      </c>
      <c r="U34" s="10">
        <f t="shared" si="66"/>
        <v>125.3</v>
      </c>
      <c r="V34" s="10">
        <f t="shared" si="67"/>
        <v>135.3</v>
      </c>
      <c r="W34" s="10">
        <f t="shared" si="68"/>
        <v>143.3</v>
      </c>
      <c r="X34" s="10">
        <f t="shared" si="69"/>
        <v>159.3</v>
      </c>
      <c r="Y34" s="10">
        <f t="shared" si="70"/>
        <v>164.3</v>
      </c>
      <c r="Z34" s="10">
        <f t="shared" si="71"/>
        <v>165.3</v>
      </c>
      <c r="AA34" s="11">
        <f t="shared" si="19"/>
        <v>66.3</v>
      </c>
      <c r="AB34" s="12">
        <f t="shared" si="75"/>
        <v>59.3</v>
      </c>
      <c r="AC34" s="10">
        <f t="shared" si="76"/>
        <v>47.3</v>
      </c>
      <c r="AD34" s="10">
        <f t="shared" si="77"/>
        <v>35.3</v>
      </c>
      <c r="AE34" s="10">
        <f t="shared" si="78"/>
        <v>25.299999999999997</v>
      </c>
      <c r="AF34" s="10">
        <f t="shared" si="79"/>
        <v>16.299999999999997</v>
      </c>
      <c r="AG34" s="10">
        <f>C34-56</f>
        <v>10.299999999999997</v>
      </c>
      <c r="AH34" s="10">
        <f t="shared" si="72"/>
        <v>-0.29999999999999716</v>
      </c>
      <c r="AI34" s="10">
        <f t="shared" si="63"/>
        <v>1.7000000000000028</v>
      </c>
      <c r="AJ34" s="10">
        <f t="shared" si="73"/>
        <v>7.700000000000003</v>
      </c>
      <c r="AK34" s="13">
        <f t="shared" si="74"/>
        <v>17.700000000000003</v>
      </c>
      <c r="AL34" s="43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</row>
    <row r="35" spans="1:70" s="17" customFormat="1" ht="12.75">
      <c r="A35" s="85"/>
      <c r="B35" s="58" t="s">
        <v>30</v>
      </c>
      <c r="C35" s="11">
        <v>68.4</v>
      </c>
      <c r="D35" s="10">
        <f t="shared" si="34"/>
        <v>161.4</v>
      </c>
      <c r="E35" s="10">
        <f t="shared" si="35"/>
        <v>150.4</v>
      </c>
      <c r="F35" s="10">
        <f t="shared" si="36"/>
        <v>138.4</v>
      </c>
      <c r="G35" s="10">
        <f t="shared" si="37"/>
        <v>122.4</v>
      </c>
      <c r="H35" s="10">
        <f t="shared" si="38"/>
        <v>114.4</v>
      </c>
      <c r="I35" s="10">
        <f t="shared" si="39"/>
        <v>112.4</v>
      </c>
      <c r="J35" s="10">
        <f t="shared" si="40"/>
        <v>98.4</v>
      </c>
      <c r="K35" s="10">
        <f t="shared" si="41"/>
        <v>84.4</v>
      </c>
      <c r="L35" s="10">
        <f t="shared" si="42"/>
        <v>76.4</v>
      </c>
      <c r="M35" s="10">
        <f t="shared" si="43"/>
        <v>74.4</v>
      </c>
      <c r="N35" s="11">
        <f t="shared" si="6"/>
        <v>68.4</v>
      </c>
      <c r="O35" s="10">
        <f t="shared" si="59"/>
        <v>75.4</v>
      </c>
      <c r="P35" s="10">
        <f t="shared" si="60"/>
        <v>84.4</v>
      </c>
      <c r="Q35" s="10">
        <f t="shared" si="61"/>
        <v>91.4</v>
      </c>
      <c r="R35" s="10">
        <f t="shared" si="62"/>
        <v>98.4</v>
      </c>
      <c r="S35" s="10">
        <f t="shared" si="64"/>
        <v>107.4</v>
      </c>
      <c r="T35" s="10">
        <f t="shared" si="65"/>
        <v>118.4</v>
      </c>
      <c r="U35" s="10">
        <f t="shared" si="66"/>
        <v>127.4</v>
      </c>
      <c r="V35" s="10">
        <f t="shared" si="67"/>
        <v>137.4</v>
      </c>
      <c r="W35" s="10">
        <f t="shared" si="68"/>
        <v>145.4</v>
      </c>
      <c r="X35" s="10">
        <f t="shared" si="69"/>
        <v>161.4</v>
      </c>
      <c r="Y35" s="10">
        <f t="shared" si="70"/>
        <v>166.4</v>
      </c>
      <c r="Z35" s="10">
        <f t="shared" si="71"/>
        <v>167.4</v>
      </c>
      <c r="AA35" s="11">
        <f t="shared" si="19"/>
        <v>68.4</v>
      </c>
      <c r="AB35" s="12">
        <f t="shared" si="75"/>
        <v>61.400000000000006</v>
      </c>
      <c r="AC35" s="10">
        <f t="shared" si="76"/>
        <v>49.400000000000006</v>
      </c>
      <c r="AD35" s="10">
        <f t="shared" si="77"/>
        <v>37.400000000000006</v>
      </c>
      <c r="AE35" s="10">
        <f t="shared" si="78"/>
        <v>27.400000000000006</v>
      </c>
      <c r="AF35" s="10">
        <f t="shared" si="79"/>
        <v>18.400000000000006</v>
      </c>
      <c r="AG35" s="10">
        <f>C35-56</f>
        <v>12.400000000000006</v>
      </c>
      <c r="AH35" s="10">
        <f>C35-66</f>
        <v>2.4000000000000057</v>
      </c>
      <c r="AI35" s="10">
        <f t="shared" si="63"/>
        <v>-0.4000000000000057</v>
      </c>
      <c r="AJ35" s="10">
        <f t="shared" si="73"/>
        <v>5.599999999999994</v>
      </c>
      <c r="AK35" s="13">
        <f t="shared" si="74"/>
        <v>15.599999999999994</v>
      </c>
      <c r="AL35" s="43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</row>
    <row r="36" spans="1:70" s="17" customFormat="1" ht="12.75">
      <c r="A36" s="85"/>
      <c r="B36" s="58" t="s">
        <v>31</v>
      </c>
      <c r="C36" s="11">
        <v>74.4</v>
      </c>
      <c r="D36" s="10">
        <f t="shared" si="34"/>
        <v>167.4</v>
      </c>
      <c r="E36" s="10">
        <f t="shared" si="35"/>
        <v>156.4</v>
      </c>
      <c r="F36" s="10">
        <f t="shared" si="36"/>
        <v>144.4</v>
      </c>
      <c r="G36" s="10">
        <f t="shared" si="37"/>
        <v>128.4</v>
      </c>
      <c r="H36" s="10">
        <f t="shared" si="38"/>
        <v>120.4</v>
      </c>
      <c r="I36" s="10">
        <f t="shared" si="39"/>
        <v>118.4</v>
      </c>
      <c r="J36" s="10">
        <f t="shared" si="40"/>
        <v>104.4</v>
      </c>
      <c r="K36" s="10">
        <f t="shared" si="41"/>
        <v>90.4</v>
      </c>
      <c r="L36" s="10">
        <f t="shared" si="42"/>
        <v>82.4</v>
      </c>
      <c r="M36" s="10">
        <f t="shared" si="43"/>
        <v>80.4</v>
      </c>
      <c r="N36" s="11">
        <f t="shared" si="6"/>
        <v>74.4</v>
      </c>
      <c r="O36" s="10">
        <f t="shared" si="59"/>
        <v>81.4</v>
      </c>
      <c r="P36" s="10">
        <f t="shared" si="60"/>
        <v>90.4</v>
      </c>
      <c r="Q36" s="10">
        <f t="shared" si="61"/>
        <v>97.4</v>
      </c>
      <c r="R36" s="10">
        <f t="shared" si="62"/>
        <v>104.4</v>
      </c>
      <c r="S36" s="10">
        <f t="shared" si="64"/>
        <v>113.4</v>
      </c>
      <c r="T36" s="10">
        <f t="shared" si="65"/>
        <v>124.4</v>
      </c>
      <c r="U36" s="10">
        <f t="shared" si="66"/>
        <v>133.4</v>
      </c>
      <c r="V36" s="10">
        <f t="shared" si="67"/>
        <v>143.4</v>
      </c>
      <c r="W36" s="10">
        <f t="shared" si="68"/>
        <v>151.4</v>
      </c>
      <c r="X36" s="10">
        <f t="shared" si="69"/>
        <v>167.4</v>
      </c>
      <c r="Y36" s="10">
        <f t="shared" si="70"/>
        <v>172.4</v>
      </c>
      <c r="Z36" s="10">
        <f t="shared" si="71"/>
        <v>173.4</v>
      </c>
      <c r="AA36" s="11">
        <f t="shared" si="19"/>
        <v>74.4</v>
      </c>
      <c r="AB36" s="12">
        <f t="shared" si="75"/>
        <v>67.4</v>
      </c>
      <c r="AC36" s="10">
        <f t="shared" si="76"/>
        <v>55.400000000000006</v>
      </c>
      <c r="AD36" s="10">
        <f t="shared" si="77"/>
        <v>43.400000000000006</v>
      </c>
      <c r="AE36" s="10">
        <f t="shared" si="78"/>
        <v>33.400000000000006</v>
      </c>
      <c r="AF36" s="10">
        <f t="shared" si="79"/>
        <v>24.400000000000006</v>
      </c>
      <c r="AG36" s="10">
        <f>C36-56</f>
        <v>18.400000000000006</v>
      </c>
      <c r="AH36" s="10">
        <f>C36-66</f>
        <v>8.400000000000006</v>
      </c>
      <c r="AI36" s="10">
        <f>C36-68</f>
        <v>6.400000000000006</v>
      </c>
      <c r="AJ36" s="10">
        <f>C36-74</f>
        <v>0.4000000000000057</v>
      </c>
      <c r="AK36" s="13">
        <f t="shared" si="74"/>
        <v>9.599999999999994</v>
      </c>
      <c r="AL36" s="43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</row>
    <row r="37" spans="1:70" s="30" customFormat="1" ht="13.5" thickBot="1">
      <c r="A37" s="89"/>
      <c r="B37" s="60" t="s">
        <v>21</v>
      </c>
      <c r="C37" s="26">
        <v>84.4</v>
      </c>
      <c r="D37" s="25">
        <f t="shared" si="34"/>
        <v>177.4</v>
      </c>
      <c r="E37" s="25">
        <f t="shared" si="35"/>
        <v>166.4</v>
      </c>
      <c r="F37" s="25">
        <f t="shared" si="36"/>
        <v>154.4</v>
      </c>
      <c r="G37" s="25">
        <f t="shared" si="37"/>
        <v>138.4</v>
      </c>
      <c r="H37" s="25">
        <f t="shared" si="38"/>
        <v>130.4</v>
      </c>
      <c r="I37" s="25">
        <f t="shared" si="39"/>
        <v>128.4</v>
      </c>
      <c r="J37" s="25">
        <f t="shared" si="40"/>
        <v>114.4</v>
      </c>
      <c r="K37" s="25">
        <f t="shared" si="41"/>
        <v>100.4</v>
      </c>
      <c r="L37" s="25">
        <f t="shared" si="42"/>
        <v>92.4</v>
      </c>
      <c r="M37" s="25">
        <f t="shared" si="43"/>
        <v>90.4</v>
      </c>
      <c r="N37" s="26">
        <f t="shared" si="6"/>
        <v>84.4</v>
      </c>
      <c r="O37" s="25">
        <f t="shared" si="59"/>
        <v>91.4</v>
      </c>
      <c r="P37" s="25">
        <f t="shared" si="60"/>
        <v>100.4</v>
      </c>
      <c r="Q37" s="25">
        <f t="shared" si="61"/>
        <v>107.4</v>
      </c>
      <c r="R37" s="25">
        <f t="shared" si="62"/>
        <v>114.4</v>
      </c>
      <c r="S37" s="25">
        <f t="shared" si="64"/>
        <v>123.4</v>
      </c>
      <c r="T37" s="25">
        <f t="shared" si="65"/>
        <v>134.4</v>
      </c>
      <c r="U37" s="25">
        <f t="shared" si="66"/>
        <v>143.4</v>
      </c>
      <c r="V37" s="25">
        <f t="shared" si="67"/>
        <v>153.4</v>
      </c>
      <c r="W37" s="25">
        <f t="shared" si="68"/>
        <v>161.4</v>
      </c>
      <c r="X37" s="25">
        <f t="shared" si="69"/>
        <v>177.4</v>
      </c>
      <c r="Y37" s="25">
        <f t="shared" si="70"/>
        <v>182.4</v>
      </c>
      <c r="Z37" s="25">
        <f t="shared" si="71"/>
        <v>183.4</v>
      </c>
      <c r="AA37" s="26">
        <f t="shared" si="19"/>
        <v>84.4</v>
      </c>
      <c r="AB37" s="27">
        <f t="shared" si="75"/>
        <v>77.4</v>
      </c>
      <c r="AC37" s="25">
        <f t="shared" si="76"/>
        <v>65.4</v>
      </c>
      <c r="AD37" s="25">
        <f t="shared" si="77"/>
        <v>53.400000000000006</v>
      </c>
      <c r="AE37" s="25">
        <f t="shared" si="78"/>
        <v>43.400000000000006</v>
      </c>
      <c r="AF37" s="25">
        <f t="shared" si="79"/>
        <v>34.400000000000006</v>
      </c>
      <c r="AG37" s="25">
        <f>C37-56</f>
        <v>28.400000000000006</v>
      </c>
      <c r="AH37" s="25">
        <f>C37-66</f>
        <v>18.400000000000006</v>
      </c>
      <c r="AI37" s="25">
        <f>C37-68</f>
        <v>16.400000000000006</v>
      </c>
      <c r="AJ37" s="25">
        <f>C37-74</f>
        <v>10.400000000000006</v>
      </c>
      <c r="AK37" s="28">
        <f>C37-84</f>
        <v>0.4000000000000057</v>
      </c>
      <c r="AL37" s="46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</row>
    <row r="38" spans="1:70" s="38" customFormat="1" ht="27.75" customHeight="1" thickBot="1">
      <c r="A38" s="80"/>
      <c r="B38" s="47"/>
      <c r="C38" s="69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9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9"/>
      <c r="AB38" s="50"/>
      <c r="AC38" s="48"/>
      <c r="AD38" s="48"/>
      <c r="AE38" s="48"/>
      <c r="AF38" s="48"/>
      <c r="AG38" s="48"/>
      <c r="AH38" s="48"/>
      <c r="AI38" s="48"/>
      <c r="AJ38" s="48"/>
      <c r="AK38" s="51"/>
      <c r="AL38" s="52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</row>
    <row r="39" spans="1:2" ht="12.75">
      <c r="A39" s="81"/>
      <c r="B39" s="31"/>
    </row>
  </sheetData>
  <sheetProtection/>
  <mergeCells count="6">
    <mergeCell ref="AB1:AK1"/>
    <mergeCell ref="A4:A13"/>
    <mergeCell ref="A15:A26"/>
    <mergeCell ref="A28:A37"/>
    <mergeCell ref="D1:M1"/>
    <mergeCell ref="O1:Z1"/>
  </mergeCells>
  <printOptions/>
  <pageMargins left="0.15748031496062992" right="0.15748031496062992" top="0.1968503937007874" bottom="0.1968503937007874" header="0.11811023622047245" footer="0.11811023622047245"/>
  <pageSetup horizontalDpi="300" verticalDpi="3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MCSCustomer</dc:creator>
  <cp:keywords/>
  <dc:description/>
  <cp:lastModifiedBy>Microsoft Office User</cp:lastModifiedBy>
  <cp:lastPrinted>2008-03-10T21:55:35Z</cp:lastPrinted>
  <dcterms:created xsi:type="dcterms:W3CDTF">2007-10-22T03:17:26Z</dcterms:created>
  <dcterms:modified xsi:type="dcterms:W3CDTF">2017-10-09T21:41:54Z</dcterms:modified>
  <cp:category/>
  <cp:version/>
  <cp:contentType/>
  <cp:contentStatus/>
</cp:coreProperties>
</file>